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sdpgroupe-my.sharepoint.com/personal/odette_ouensou_sdpgroupe_com/Documents/Bureau/DOSSIER DE TRAVAIL 2025/SDP/CLIENTS/01-FACTURATION DES CLIENTS/"/>
    </mc:Choice>
  </mc:AlternateContent>
  <xr:revisionPtr revIDLastSave="6118" documentId="11_841D6F0926AAEBD29E47D03B1C43F24D03903FC0" xr6:coauthVersionLast="47" xr6:coauthVersionMax="47" xr10:uidLastSave="{A6CFC6EE-5E3E-4B1D-9936-DEABDCEC5F2F}"/>
  <bookViews>
    <workbookView xWindow="-120" yWindow="-120" windowWidth="29040" windowHeight="15720" tabRatio="813" firstSheet="9" activeTab="11" xr2:uid="{00000000-000D-0000-FFFF-FFFF00000000}"/>
  </bookViews>
  <sheets>
    <sheet name="liste" sheetId="37" state="hidden" r:id="rId1"/>
    <sheet name="Feuil2" sheetId="63" state="hidden" r:id="rId2"/>
    <sheet name="PROJECTION RESTE A FACTURER" sheetId="61" state="hidden" r:id="rId3"/>
    <sheet name="TDB" sheetId="67" state="hidden" r:id="rId4"/>
    <sheet name="DETAILS PROJETS" sheetId="73" state="hidden" r:id="rId5"/>
    <sheet name="projet avec budget" sheetId="74" state="hidden" r:id="rId6"/>
    <sheet name="projets sans budget" sheetId="72" state="hidden" r:id="rId7"/>
    <sheet name="DATA" sheetId="69" state="hidden" r:id="rId8"/>
    <sheet name="Mémo explicatif" sheetId="68" state="hidden" r:id="rId9"/>
    <sheet name="CARNET DE CMDE" sheetId="66" r:id="rId10"/>
    <sheet name="ETAT DES FACTURATIONS GLOBA (2)" sheetId="75" state="hidden" r:id="rId11"/>
    <sheet name="ETAT DES FACTURATIONS GLOBALES" sheetId="60" r:id="rId12"/>
    <sheet name="Feuil1" sheetId="76" state="hidden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annee" localSheetId="4">Tableau2[annee]</definedName>
    <definedName name="annee" localSheetId="10">Tableau2[annee]</definedName>
    <definedName name="annee" localSheetId="5">Tableau2[annee]</definedName>
    <definedName name="annee" localSheetId="6">Tableau2[annee]</definedName>
    <definedName name="annee">Tableau2[annee]</definedName>
    <definedName name="BUDGETCOVEBEACH">[1]!Tableau6[LIGNE BUDGET COVE BEACH]</definedName>
    <definedName name="EFG" localSheetId="4">Tableau25[MOIS]</definedName>
    <definedName name="EFG" localSheetId="10">Tableau25[MOIS]</definedName>
    <definedName name="EFG" localSheetId="5">Tableau25[MOIS]</definedName>
    <definedName name="EFG" localSheetId="6">Tableau25[MOIS]</definedName>
    <definedName name="EFG">Tableau25[MOIS]</definedName>
    <definedName name="mois" localSheetId="4">Tableau25[MOIS]</definedName>
    <definedName name="mois" localSheetId="10">Tableau25[MOIS]</definedName>
    <definedName name="mois" localSheetId="11">Tableau25[MOIS]</definedName>
    <definedName name="mois" localSheetId="5">Tableau25[MOIS]</definedName>
    <definedName name="mois" localSheetId="6">Tableau25[MOIS]</definedName>
    <definedName name="mois">Tableau25[MOIS]</definedName>
    <definedName name="STATUT" localSheetId="4">Tableau3[STATUT]</definedName>
    <definedName name="STATUT" localSheetId="10">Tableau3[STATUT]</definedName>
    <definedName name="STATUT" localSheetId="5">Tableau3[STATUT]</definedName>
    <definedName name="STATUT" localSheetId="6">Tableau3[STATUT]</definedName>
    <definedName name="STATUT">Tableau3[STATUT]</definedName>
    <definedName name="_xlnm.Print_Area" localSheetId="4">'DETAILS PROJETS'!$A$1:$G$31</definedName>
    <definedName name="_xlnm.Print_Area" localSheetId="5">'projet avec budget'!$A$1:$N$17</definedName>
    <definedName name="_xlnm.Print_Area" localSheetId="6">'projets sans budget'!$A$1:$L$28</definedName>
  </definedNames>
  <calcPr calcId="191029"/>
  <pivotCaches>
    <pivotCache cacheId="1" r:id="rId2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65" i="60" l="1"/>
  <c r="N165" i="60"/>
  <c r="M165" i="60"/>
  <c r="H165" i="60"/>
  <c r="I162" i="60"/>
  <c r="J162" i="60"/>
  <c r="K162" i="60" s="1"/>
  <c r="R162" i="60"/>
  <c r="T162" i="60"/>
  <c r="I163" i="60"/>
  <c r="J163" i="60"/>
  <c r="K163" i="60"/>
  <c r="L163" i="60"/>
  <c r="P163" i="60" s="1"/>
  <c r="Q163" i="60" s="1"/>
  <c r="S163" i="60" s="1"/>
  <c r="R163" i="60"/>
  <c r="T163" i="60"/>
  <c r="I164" i="60"/>
  <c r="J164" i="60"/>
  <c r="R164" i="60"/>
  <c r="T164" i="60"/>
  <c r="M203" i="60"/>
  <c r="N203" i="60"/>
  <c r="O203" i="60"/>
  <c r="H203" i="60"/>
  <c r="T202" i="60"/>
  <c r="R202" i="60"/>
  <c r="J202" i="60"/>
  <c r="K202" i="60" s="1"/>
  <c r="S202" i="60" s="1"/>
  <c r="I202" i="60"/>
  <c r="P202" i="60" s="1"/>
  <c r="T201" i="60"/>
  <c r="R201" i="60"/>
  <c r="J201" i="60"/>
  <c r="K201" i="60" s="1"/>
  <c r="S201" i="60" s="1"/>
  <c r="I201" i="60"/>
  <c r="P201" i="60" s="1"/>
  <c r="T200" i="60"/>
  <c r="R200" i="60"/>
  <c r="J200" i="60"/>
  <c r="K200" i="60" s="1"/>
  <c r="S200" i="60" s="1"/>
  <c r="I200" i="60"/>
  <c r="L200" i="60" s="1"/>
  <c r="Q200" i="60" s="1"/>
  <c r="T199" i="60"/>
  <c r="R199" i="60"/>
  <c r="J199" i="60"/>
  <c r="I199" i="60"/>
  <c r="P199" i="60" s="1"/>
  <c r="T198" i="60"/>
  <c r="R198" i="60"/>
  <c r="J198" i="60"/>
  <c r="I198" i="60"/>
  <c r="T204" i="60"/>
  <c r="R204" i="60"/>
  <c r="J204" i="60"/>
  <c r="K204" i="60" s="1"/>
  <c r="S204" i="60" s="1"/>
  <c r="I204" i="60"/>
  <c r="P204" i="60" s="1"/>
  <c r="I205" i="60"/>
  <c r="R165" i="60" l="1"/>
  <c r="L162" i="60"/>
  <c r="P162" i="60" s="1"/>
  <c r="Q162" i="60" s="1"/>
  <c r="S162" i="60" s="1"/>
  <c r="L164" i="60"/>
  <c r="P164" i="60" s="1"/>
  <c r="Q164" i="60" s="1"/>
  <c r="S164" i="60" s="1"/>
  <c r="J165" i="60"/>
  <c r="K164" i="60"/>
  <c r="K165" i="60" s="1"/>
  <c r="I165" i="60"/>
  <c r="J203" i="60"/>
  <c r="L199" i="60"/>
  <c r="Q199" i="60" s="1"/>
  <c r="I203" i="60"/>
  <c r="L201" i="60"/>
  <c r="Q201" i="60" s="1"/>
  <c r="R203" i="60"/>
  <c r="K198" i="60"/>
  <c r="L198" i="60"/>
  <c r="P198" i="60"/>
  <c r="P200" i="60"/>
  <c r="L202" i="60"/>
  <c r="Q202" i="60" s="1"/>
  <c r="K199" i="60"/>
  <c r="S199" i="60" s="1"/>
  <c r="L204" i="60"/>
  <c r="Q204" i="60" s="1"/>
  <c r="P229" i="60"/>
  <c r="Q229" i="60"/>
  <c r="R229" i="60"/>
  <c r="S229" i="60"/>
  <c r="P230" i="60"/>
  <c r="Q230" i="60"/>
  <c r="R230" i="60"/>
  <c r="S230" i="60"/>
  <c r="P231" i="60"/>
  <c r="Q231" i="60"/>
  <c r="R231" i="60"/>
  <c r="S231" i="60"/>
  <c r="L165" i="60" l="1"/>
  <c r="S165" i="60"/>
  <c r="P165" i="60"/>
  <c r="Q165" i="60"/>
  <c r="P203" i="60"/>
  <c r="S198" i="60"/>
  <c r="S203" i="60" s="1"/>
  <c r="K203" i="60"/>
  <c r="Q198" i="60"/>
  <c r="Q203" i="60" s="1"/>
  <c r="L203" i="60"/>
  <c r="T177" i="60"/>
  <c r="R177" i="60"/>
  <c r="J177" i="60"/>
  <c r="K177" i="60" s="1"/>
  <c r="S177" i="60" s="1"/>
  <c r="I177" i="60"/>
  <c r="P177" i="60" s="1"/>
  <c r="M157" i="60"/>
  <c r="H157" i="60"/>
  <c r="I155" i="60"/>
  <c r="J155" i="60"/>
  <c r="K155" i="60" s="1"/>
  <c r="T155" i="60"/>
  <c r="I156" i="60"/>
  <c r="J156" i="60"/>
  <c r="K156" i="60" s="1"/>
  <c r="T156" i="60"/>
  <c r="D10" i="76"/>
  <c r="I196" i="60"/>
  <c r="O196" i="60" s="1"/>
  <c r="J196" i="60"/>
  <c r="O232" i="60"/>
  <c r="M232" i="60"/>
  <c r="H232" i="60"/>
  <c r="I232" i="60" l="1"/>
  <c r="L156" i="60"/>
  <c r="P156" i="60" s="1"/>
  <c r="Q156" i="60" s="1"/>
  <c r="S156" i="60" s="1"/>
  <c r="L155" i="60"/>
  <c r="P155" i="60" s="1"/>
  <c r="Q155" i="60" s="1"/>
  <c r="S155" i="60" s="1"/>
  <c r="K157" i="60"/>
  <c r="O156" i="60"/>
  <c r="N156" i="60"/>
  <c r="R156" i="60" s="1"/>
  <c r="L177" i="60"/>
  <c r="Q177" i="60" s="1"/>
  <c r="J157" i="60"/>
  <c r="I157" i="60"/>
  <c r="O155" i="60"/>
  <c r="N155" i="60"/>
  <c r="R155" i="60" s="1"/>
  <c r="N196" i="60"/>
  <c r="R196" i="60" s="1"/>
  <c r="J232" i="60"/>
  <c r="K232" i="60"/>
  <c r="O157" i="60" l="1"/>
  <c r="R232" i="60"/>
  <c r="N232" i="60"/>
  <c r="P232" i="60"/>
  <c r="R157" i="60"/>
  <c r="N157" i="60"/>
  <c r="L157" i="60"/>
  <c r="S232" i="60"/>
  <c r="L232" i="60"/>
  <c r="P157" i="60" l="1"/>
  <c r="Q232" i="60"/>
  <c r="S157" i="60" l="1"/>
  <c r="Q157" i="60"/>
  <c r="N169" i="60"/>
  <c r="O169" i="60"/>
  <c r="L169" i="60"/>
  <c r="P169" i="60" s="1"/>
  <c r="S169" i="60" l="1"/>
  <c r="R169" i="60"/>
  <c r="Q169" i="60"/>
  <c r="G46" i="66"/>
  <c r="P42" i="75" l="1"/>
  <c r="O181" i="75"/>
  <c r="N181" i="75"/>
  <c r="M181" i="75"/>
  <c r="H181" i="75"/>
  <c r="T180" i="75"/>
  <c r="R180" i="75"/>
  <c r="J180" i="75"/>
  <c r="I180" i="75"/>
  <c r="P180" i="75" s="1"/>
  <c r="T179" i="75"/>
  <c r="R179" i="75"/>
  <c r="K179" i="75"/>
  <c r="S179" i="75" s="1"/>
  <c r="J179" i="75"/>
  <c r="I179" i="75"/>
  <c r="L179" i="75" s="1"/>
  <c r="Q179" i="75" s="1"/>
  <c r="T178" i="75"/>
  <c r="R178" i="75"/>
  <c r="J178" i="75"/>
  <c r="I178" i="75"/>
  <c r="P178" i="75" s="1"/>
  <c r="T177" i="75"/>
  <c r="R177" i="75"/>
  <c r="R181" i="75" s="1"/>
  <c r="P177" i="75"/>
  <c r="K177" i="75"/>
  <c r="S177" i="75" s="1"/>
  <c r="J177" i="75"/>
  <c r="I177" i="75"/>
  <c r="L177" i="75" s="1"/>
  <c r="Q177" i="75" s="1"/>
  <c r="T176" i="75"/>
  <c r="R176" i="75"/>
  <c r="P176" i="75"/>
  <c r="L176" i="75"/>
  <c r="Q176" i="75" s="1"/>
  <c r="J176" i="75"/>
  <c r="K176" i="75" s="1"/>
  <c r="S176" i="75" s="1"/>
  <c r="I176" i="75"/>
  <c r="O169" i="75"/>
  <c r="N169" i="75"/>
  <c r="M169" i="75"/>
  <c r="I169" i="75"/>
  <c r="H169" i="75"/>
  <c r="T168" i="75"/>
  <c r="R168" i="75"/>
  <c r="R169" i="75" s="1"/>
  <c r="P168" i="75"/>
  <c r="P169" i="75" s="1"/>
  <c r="K168" i="75"/>
  <c r="J168" i="75"/>
  <c r="J169" i="75" s="1"/>
  <c r="O167" i="75"/>
  <c r="N167" i="75"/>
  <c r="M167" i="75"/>
  <c r="I167" i="75"/>
  <c r="H167" i="75"/>
  <c r="T166" i="75"/>
  <c r="R166" i="75"/>
  <c r="R167" i="75" s="1"/>
  <c r="K166" i="75"/>
  <c r="J166" i="75"/>
  <c r="J167" i="75" s="1"/>
  <c r="I166" i="75"/>
  <c r="L166" i="75" s="1"/>
  <c r="R165" i="75"/>
  <c r="P165" i="75"/>
  <c r="O165" i="75"/>
  <c r="N165" i="75"/>
  <c r="M165" i="75"/>
  <c r="L165" i="75"/>
  <c r="I165" i="75"/>
  <c r="H165" i="75"/>
  <c r="T164" i="75"/>
  <c r="T163" i="75"/>
  <c r="T162" i="75"/>
  <c r="T161" i="75"/>
  <c r="T160" i="75"/>
  <c r="R160" i="75"/>
  <c r="Q160" i="75"/>
  <c r="Q165" i="75" s="1"/>
  <c r="P160" i="75"/>
  <c r="L160" i="75"/>
  <c r="J160" i="75"/>
  <c r="K160" i="75" s="1"/>
  <c r="K165" i="75" s="1"/>
  <c r="I160" i="75"/>
  <c r="M159" i="75"/>
  <c r="I159" i="75"/>
  <c r="H159" i="75"/>
  <c r="T158" i="75"/>
  <c r="R158" i="75"/>
  <c r="K158" i="75"/>
  <c r="J158" i="75"/>
  <c r="I158" i="75"/>
  <c r="L158" i="75" s="1"/>
  <c r="P158" i="75" s="1"/>
  <c r="Q158" i="75" s="1"/>
  <c r="S158" i="75" s="1"/>
  <c r="T157" i="75"/>
  <c r="R157" i="75"/>
  <c r="J157" i="75"/>
  <c r="K157" i="75" s="1"/>
  <c r="I157" i="75"/>
  <c r="T156" i="75"/>
  <c r="R156" i="75"/>
  <c r="P156" i="75"/>
  <c r="K156" i="75"/>
  <c r="S156" i="75" s="1"/>
  <c r="J156" i="75"/>
  <c r="I156" i="75"/>
  <c r="L156" i="75" s="1"/>
  <c r="Q156" i="75" s="1"/>
  <c r="T155" i="75"/>
  <c r="Q155" i="75"/>
  <c r="O155" i="75"/>
  <c r="O159" i="75" s="1"/>
  <c r="L155" i="75"/>
  <c r="J155" i="75"/>
  <c r="I155" i="75"/>
  <c r="N155" i="75" s="1"/>
  <c r="O154" i="75"/>
  <c r="N154" i="75"/>
  <c r="M154" i="75"/>
  <c r="H154" i="75"/>
  <c r="T146" i="75"/>
  <c r="R146" i="75"/>
  <c r="R154" i="75" s="1"/>
  <c r="P146" i="75"/>
  <c r="P154" i="75" s="1"/>
  <c r="K146" i="75"/>
  <c r="J146" i="75"/>
  <c r="J154" i="75" s="1"/>
  <c r="I146" i="75"/>
  <c r="L146" i="75" s="1"/>
  <c r="M145" i="75"/>
  <c r="J145" i="75"/>
  <c r="H145" i="75"/>
  <c r="T144" i="75"/>
  <c r="T143" i="75"/>
  <c r="T142" i="75"/>
  <c r="T141" i="75"/>
  <c r="P141" i="75"/>
  <c r="Q141" i="75" s="1"/>
  <c r="Q145" i="75" s="1"/>
  <c r="O141" i="75"/>
  <c r="O145" i="75" s="1"/>
  <c r="N141" i="75"/>
  <c r="K141" i="75"/>
  <c r="K145" i="75" s="1"/>
  <c r="J141" i="75"/>
  <c r="I141" i="75"/>
  <c r="M140" i="75"/>
  <c r="J140" i="75"/>
  <c r="H140" i="75"/>
  <c r="T138" i="75"/>
  <c r="R138" i="75"/>
  <c r="P138" i="75"/>
  <c r="J138" i="75"/>
  <c r="I138" i="75"/>
  <c r="T137" i="75"/>
  <c r="R137" i="75"/>
  <c r="K137" i="75"/>
  <c r="S137" i="75" s="1"/>
  <c r="J137" i="75"/>
  <c r="I137" i="75"/>
  <c r="L137" i="75" s="1"/>
  <c r="Q137" i="75" s="1"/>
  <c r="T136" i="75"/>
  <c r="O136" i="75"/>
  <c r="S136" i="75" s="1"/>
  <c r="J136" i="75"/>
  <c r="K136" i="75" s="1"/>
  <c r="I136" i="75"/>
  <c r="T135" i="75"/>
  <c r="N135" i="75"/>
  <c r="R135" i="75" s="1"/>
  <c r="K135" i="75"/>
  <c r="J135" i="75"/>
  <c r="I135" i="75"/>
  <c r="O135" i="75" s="1"/>
  <c r="T134" i="75"/>
  <c r="Q134" i="75"/>
  <c r="P134" i="75"/>
  <c r="O134" i="75"/>
  <c r="S134" i="75" s="1"/>
  <c r="L134" i="75"/>
  <c r="J134" i="75"/>
  <c r="K134" i="75" s="1"/>
  <c r="I134" i="75"/>
  <c r="N134" i="75" s="1"/>
  <c r="R134" i="75" s="1"/>
  <c r="T133" i="75"/>
  <c r="N133" i="75"/>
  <c r="R133" i="75" s="1"/>
  <c r="K133" i="75"/>
  <c r="J133" i="75"/>
  <c r="I133" i="75"/>
  <c r="T132" i="75"/>
  <c r="Q132" i="75"/>
  <c r="O132" i="75"/>
  <c r="N132" i="75"/>
  <c r="R132" i="75" s="1"/>
  <c r="L132" i="75"/>
  <c r="P132" i="75" s="1"/>
  <c r="J132" i="75"/>
  <c r="K132" i="75" s="1"/>
  <c r="I132" i="75"/>
  <c r="M131" i="75"/>
  <c r="H131" i="75"/>
  <c r="T130" i="75"/>
  <c r="R130" i="75"/>
  <c r="P130" i="75"/>
  <c r="J130" i="75"/>
  <c r="K130" i="75" s="1"/>
  <c r="S130" i="75" s="1"/>
  <c r="I130" i="75"/>
  <c r="T129" i="75"/>
  <c r="O129" i="75"/>
  <c r="N129" i="75"/>
  <c r="R129" i="75" s="1"/>
  <c r="L129" i="75"/>
  <c r="J129" i="75"/>
  <c r="K129" i="75" s="1"/>
  <c r="S129" i="75" s="1"/>
  <c r="I129" i="75"/>
  <c r="T128" i="75"/>
  <c r="R128" i="75"/>
  <c r="N128" i="75"/>
  <c r="K128" i="75"/>
  <c r="J128" i="75"/>
  <c r="I128" i="75"/>
  <c r="T127" i="75"/>
  <c r="O127" i="75"/>
  <c r="L127" i="75"/>
  <c r="P127" i="75" s="1"/>
  <c r="Q127" i="75" s="1"/>
  <c r="S127" i="75" s="1"/>
  <c r="J127" i="75"/>
  <c r="K127" i="75" s="1"/>
  <c r="I127" i="75"/>
  <c r="T126" i="75"/>
  <c r="O126" i="75"/>
  <c r="N126" i="75"/>
  <c r="R126" i="75" s="1"/>
  <c r="K126" i="75"/>
  <c r="J126" i="75"/>
  <c r="I126" i="75"/>
  <c r="L126" i="75" s="1"/>
  <c r="P126" i="75" s="1"/>
  <c r="Q126" i="75" s="1"/>
  <c r="S126" i="75" s="1"/>
  <c r="T125" i="75"/>
  <c r="S125" i="75"/>
  <c r="O125" i="75"/>
  <c r="L125" i="75"/>
  <c r="P125" i="75" s="1"/>
  <c r="Q125" i="75" s="1"/>
  <c r="J125" i="75"/>
  <c r="K125" i="75" s="1"/>
  <c r="I125" i="75"/>
  <c r="T124" i="75"/>
  <c r="R124" i="75"/>
  <c r="N124" i="75"/>
  <c r="L124" i="75"/>
  <c r="P124" i="75" s="1"/>
  <c r="Q124" i="75" s="1"/>
  <c r="S124" i="75" s="1"/>
  <c r="K124" i="75"/>
  <c r="J124" i="75"/>
  <c r="I124" i="75"/>
  <c r="O124" i="75" s="1"/>
  <c r="T123" i="75"/>
  <c r="O123" i="75"/>
  <c r="J123" i="75"/>
  <c r="I123" i="75"/>
  <c r="M122" i="75"/>
  <c r="I122" i="75"/>
  <c r="H122" i="75"/>
  <c r="T119" i="75"/>
  <c r="T118" i="75"/>
  <c r="N118" i="75"/>
  <c r="N122" i="75" s="1"/>
  <c r="J118" i="75"/>
  <c r="I118" i="75"/>
  <c r="M117" i="75"/>
  <c r="J117" i="75"/>
  <c r="H117" i="75"/>
  <c r="T116" i="75"/>
  <c r="P116" i="75"/>
  <c r="K116" i="75"/>
  <c r="J116" i="75"/>
  <c r="I116" i="75"/>
  <c r="L116" i="75" s="1"/>
  <c r="Q116" i="75" s="1"/>
  <c r="T115" i="75"/>
  <c r="R115" i="75"/>
  <c r="L115" i="75"/>
  <c r="J115" i="75"/>
  <c r="K115" i="75" s="1"/>
  <c r="I115" i="75"/>
  <c r="N115" i="75" s="1"/>
  <c r="T114" i="75"/>
  <c r="K114" i="75"/>
  <c r="S114" i="75" s="1"/>
  <c r="J114" i="75"/>
  <c r="I114" i="75"/>
  <c r="O114" i="75" s="1"/>
  <c r="T113" i="75"/>
  <c r="O113" i="75"/>
  <c r="L113" i="75"/>
  <c r="P113" i="75" s="1"/>
  <c r="Q113" i="75" s="1"/>
  <c r="S113" i="75" s="1"/>
  <c r="J113" i="75"/>
  <c r="K113" i="75" s="1"/>
  <c r="I113" i="75"/>
  <c r="N113" i="75" s="1"/>
  <c r="R113" i="75" s="1"/>
  <c r="T112" i="75"/>
  <c r="K112" i="75"/>
  <c r="J112" i="75"/>
  <c r="I112" i="75"/>
  <c r="T111" i="75"/>
  <c r="Q111" i="75"/>
  <c r="S111" i="75" s="1"/>
  <c r="O111" i="75"/>
  <c r="L111" i="75"/>
  <c r="P111" i="75" s="1"/>
  <c r="J111" i="75"/>
  <c r="K111" i="75" s="1"/>
  <c r="I111" i="75"/>
  <c r="T110" i="75"/>
  <c r="K110" i="75"/>
  <c r="J110" i="75"/>
  <c r="I110" i="75"/>
  <c r="T109" i="75"/>
  <c r="O109" i="75"/>
  <c r="K109" i="75"/>
  <c r="J109" i="75"/>
  <c r="L109" i="75" s="1"/>
  <c r="P109" i="75" s="1"/>
  <c r="Q109" i="75" s="1"/>
  <c r="S109" i="75" s="1"/>
  <c r="I109" i="75"/>
  <c r="N109" i="75" s="1"/>
  <c r="R109" i="75" s="1"/>
  <c r="T108" i="75"/>
  <c r="O108" i="75"/>
  <c r="M108" i="75"/>
  <c r="J108" i="75"/>
  <c r="K108" i="75" s="1"/>
  <c r="I108" i="75"/>
  <c r="T107" i="75"/>
  <c r="J107" i="75"/>
  <c r="K107" i="75" s="1"/>
  <c r="I107" i="75"/>
  <c r="T106" i="75"/>
  <c r="O106" i="75"/>
  <c r="N106" i="75"/>
  <c r="J106" i="75"/>
  <c r="K106" i="75" s="1"/>
  <c r="I106" i="75"/>
  <c r="M105" i="75"/>
  <c r="H105" i="75"/>
  <c r="T104" i="75"/>
  <c r="K104" i="75"/>
  <c r="J104" i="75"/>
  <c r="I104" i="75"/>
  <c r="T103" i="75"/>
  <c r="O103" i="75"/>
  <c r="J103" i="75"/>
  <c r="I103" i="75"/>
  <c r="M102" i="75"/>
  <c r="H102" i="75"/>
  <c r="T101" i="75"/>
  <c r="O101" i="75"/>
  <c r="K101" i="75"/>
  <c r="J101" i="75"/>
  <c r="I101" i="75"/>
  <c r="T100" i="75"/>
  <c r="J100" i="75"/>
  <c r="K100" i="75" s="1"/>
  <c r="I100" i="75"/>
  <c r="T99" i="75"/>
  <c r="K99" i="75"/>
  <c r="J99" i="75"/>
  <c r="I99" i="75"/>
  <c r="T98" i="75"/>
  <c r="O98" i="75"/>
  <c r="J98" i="75"/>
  <c r="I98" i="75"/>
  <c r="T97" i="75"/>
  <c r="J97" i="75"/>
  <c r="K97" i="75" s="1"/>
  <c r="I97" i="75"/>
  <c r="T96" i="75"/>
  <c r="O96" i="75"/>
  <c r="J96" i="75"/>
  <c r="I96" i="75"/>
  <c r="M95" i="75"/>
  <c r="I95" i="75"/>
  <c r="H95" i="75"/>
  <c r="R94" i="75"/>
  <c r="T93" i="75"/>
  <c r="T95" i="75" s="1"/>
  <c r="R93" i="75"/>
  <c r="P93" i="75"/>
  <c r="L93" i="75"/>
  <c r="Q93" i="75" s="1"/>
  <c r="K93" i="75"/>
  <c r="S93" i="75" s="1"/>
  <c r="J93" i="75"/>
  <c r="I93" i="75"/>
  <c r="T92" i="75"/>
  <c r="O92" i="75"/>
  <c r="L92" i="75"/>
  <c r="J92" i="75"/>
  <c r="I92" i="75"/>
  <c r="T91" i="75"/>
  <c r="K91" i="75"/>
  <c r="J91" i="75"/>
  <c r="N91" i="75" s="1"/>
  <c r="R91" i="75" s="1"/>
  <c r="I91" i="75"/>
  <c r="T90" i="75"/>
  <c r="O90" i="75"/>
  <c r="N90" i="75"/>
  <c r="R90" i="75" s="1"/>
  <c r="J90" i="75"/>
  <c r="K90" i="75" s="1"/>
  <c r="I90" i="75"/>
  <c r="T89" i="75"/>
  <c r="N89" i="75"/>
  <c r="R89" i="75" s="1"/>
  <c r="K89" i="75"/>
  <c r="J89" i="75"/>
  <c r="I89" i="75"/>
  <c r="T88" i="75"/>
  <c r="O88" i="75"/>
  <c r="J88" i="75"/>
  <c r="N88" i="75" s="1"/>
  <c r="R88" i="75" s="1"/>
  <c r="I88" i="75"/>
  <c r="T87" i="75"/>
  <c r="O87" i="75"/>
  <c r="N87" i="75"/>
  <c r="R87" i="75" s="1"/>
  <c r="K87" i="75"/>
  <c r="J87" i="75"/>
  <c r="I87" i="75"/>
  <c r="L87" i="75" s="1"/>
  <c r="P87" i="75" s="1"/>
  <c r="Q87" i="75" s="1"/>
  <c r="S87" i="75" s="1"/>
  <c r="T86" i="75"/>
  <c r="O86" i="75"/>
  <c r="J86" i="75"/>
  <c r="K86" i="75" s="1"/>
  <c r="I86" i="75"/>
  <c r="T85" i="75"/>
  <c r="R85" i="75"/>
  <c r="N85" i="75"/>
  <c r="L85" i="75"/>
  <c r="P85" i="75" s="1"/>
  <c r="Q85" i="75" s="1"/>
  <c r="K85" i="75"/>
  <c r="J85" i="75"/>
  <c r="I85" i="75"/>
  <c r="O85" i="75" s="1"/>
  <c r="M84" i="75"/>
  <c r="J84" i="75"/>
  <c r="H84" i="75"/>
  <c r="R83" i="75"/>
  <c r="Q83" i="75"/>
  <c r="S82" i="75"/>
  <c r="T81" i="75"/>
  <c r="R81" i="75"/>
  <c r="P81" i="75"/>
  <c r="L81" i="75"/>
  <c r="Q81" i="75" s="1"/>
  <c r="K81" i="75"/>
  <c r="S81" i="75" s="1"/>
  <c r="J81" i="75"/>
  <c r="I81" i="75"/>
  <c r="T80" i="75"/>
  <c r="Q80" i="75"/>
  <c r="P80" i="75"/>
  <c r="O80" i="75"/>
  <c r="S80" i="75" s="1"/>
  <c r="L80" i="75"/>
  <c r="J80" i="75"/>
  <c r="K80" i="75" s="1"/>
  <c r="I80" i="75"/>
  <c r="N80" i="75" s="1"/>
  <c r="R80" i="75" s="1"/>
  <c r="T79" i="75"/>
  <c r="R79" i="75"/>
  <c r="N79" i="75"/>
  <c r="K79" i="75"/>
  <c r="J79" i="75"/>
  <c r="I79" i="75"/>
  <c r="T78" i="75"/>
  <c r="Q78" i="75"/>
  <c r="S78" i="75" s="1"/>
  <c r="O78" i="75"/>
  <c r="N78" i="75"/>
  <c r="R78" i="75" s="1"/>
  <c r="L78" i="75"/>
  <c r="P78" i="75" s="1"/>
  <c r="J78" i="75"/>
  <c r="K78" i="75" s="1"/>
  <c r="I78" i="75"/>
  <c r="T77" i="75"/>
  <c r="K77" i="75"/>
  <c r="J77" i="75"/>
  <c r="I77" i="75"/>
  <c r="T76" i="75"/>
  <c r="O76" i="75"/>
  <c r="L76" i="75"/>
  <c r="P76" i="75" s="1"/>
  <c r="Q76" i="75" s="1"/>
  <c r="S76" i="75" s="1"/>
  <c r="K76" i="75"/>
  <c r="J76" i="75"/>
  <c r="N76" i="75" s="1"/>
  <c r="R76" i="75" s="1"/>
  <c r="I76" i="75"/>
  <c r="T75" i="75"/>
  <c r="P75" i="75"/>
  <c r="Q75" i="75" s="1"/>
  <c r="S75" i="75" s="1"/>
  <c r="O75" i="75"/>
  <c r="N75" i="75"/>
  <c r="R75" i="75" s="1"/>
  <c r="K75" i="75"/>
  <c r="J75" i="75"/>
  <c r="I75" i="75"/>
  <c r="L75" i="75" s="1"/>
  <c r="T74" i="75"/>
  <c r="J74" i="75"/>
  <c r="K74" i="75" s="1"/>
  <c r="I74" i="75"/>
  <c r="T73" i="75"/>
  <c r="P73" i="75"/>
  <c r="Q73" i="75" s="1"/>
  <c r="S73" i="75" s="1"/>
  <c r="O73" i="75"/>
  <c r="N73" i="75"/>
  <c r="R73" i="75" s="1"/>
  <c r="L73" i="75"/>
  <c r="K73" i="75"/>
  <c r="J73" i="75"/>
  <c r="I73" i="75"/>
  <c r="T72" i="75"/>
  <c r="R72" i="75"/>
  <c r="L72" i="75"/>
  <c r="P72" i="75" s="1"/>
  <c r="Q72" i="75" s="1"/>
  <c r="S72" i="75" s="1"/>
  <c r="J72" i="75"/>
  <c r="K72" i="75" s="1"/>
  <c r="I72" i="75"/>
  <c r="N72" i="75" s="1"/>
  <c r="T71" i="75"/>
  <c r="J71" i="75"/>
  <c r="K71" i="75" s="1"/>
  <c r="I71" i="75"/>
  <c r="T70" i="75"/>
  <c r="Q70" i="75"/>
  <c r="S70" i="75" s="1"/>
  <c r="O70" i="75"/>
  <c r="N70" i="75"/>
  <c r="R70" i="75" s="1"/>
  <c r="L70" i="75"/>
  <c r="P70" i="75" s="1"/>
  <c r="K70" i="75"/>
  <c r="J70" i="75"/>
  <c r="I70" i="75"/>
  <c r="T69" i="75"/>
  <c r="O69" i="75"/>
  <c r="N69" i="75"/>
  <c r="R69" i="75" s="1"/>
  <c r="K69" i="75"/>
  <c r="J69" i="75"/>
  <c r="I69" i="75"/>
  <c r="L69" i="75" s="1"/>
  <c r="P69" i="75" s="1"/>
  <c r="Q69" i="75" s="1"/>
  <c r="S69" i="75" s="1"/>
  <c r="T68" i="75"/>
  <c r="J68" i="75"/>
  <c r="K68" i="75" s="1"/>
  <c r="K84" i="75" s="1"/>
  <c r="I68" i="75"/>
  <c r="O68" i="75" s="1"/>
  <c r="M67" i="75"/>
  <c r="H67" i="75"/>
  <c r="R66" i="75"/>
  <c r="T64" i="75"/>
  <c r="S64" i="75"/>
  <c r="R64" i="75"/>
  <c r="J64" i="75"/>
  <c r="K64" i="75" s="1"/>
  <c r="I64" i="75"/>
  <c r="P64" i="75" s="1"/>
  <c r="T63" i="75"/>
  <c r="S63" i="75"/>
  <c r="R63" i="75"/>
  <c r="P63" i="75"/>
  <c r="J63" i="75"/>
  <c r="K63" i="75" s="1"/>
  <c r="I63" i="75"/>
  <c r="L63" i="75" s="1"/>
  <c r="Q63" i="75" s="1"/>
  <c r="T62" i="75"/>
  <c r="R62" i="75"/>
  <c r="J62" i="75"/>
  <c r="K62" i="75" s="1"/>
  <c r="S62" i="75" s="1"/>
  <c r="I62" i="75"/>
  <c r="T61" i="75"/>
  <c r="R61" i="75"/>
  <c r="L61" i="75"/>
  <c r="Q61" i="75" s="1"/>
  <c r="K61" i="75"/>
  <c r="S61" i="75" s="1"/>
  <c r="J61" i="75"/>
  <c r="I61" i="75"/>
  <c r="P61" i="75" s="1"/>
  <c r="T60" i="75"/>
  <c r="S60" i="75"/>
  <c r="R60" i="75"/>
  <c r="P60" i="75"/>
  <c r="L60" i="75"/>
  <c r="Q60" i="75" s="1"/>
  <c r="K60" i="75"/>
  <c r="J60" i="75"/>
  <c r="I60" i="75"/>
  <c r="T59" i="75"/>
  <c r="R59" i="75"/>
  <c r="P59" i="75"/>
  <c r="K59" i="75"/>
  <c r="S59" i="75" s="1"/>
  <c r="J59" i="75"/>
  <c r="I59" i="75"/>
  <c r="L59" i="75" s="1"/>
  <c r="Q59" i="75" s="1"/>
  <c r="T58" i="75"/>
  <c r="R58" i="75"/>
  <c r="P58" i="75"/>
  <c r="J58" i="75"/>
  <c r="I58" i="75"/>
  <c r="T57" i="75"/>
  <c r="R57" i="75"/>
  <c r="Q57" i="75"/>
  <c r="P57" i="75"/>
  <c r="K57" i="75"/>
  <c r="S57" i="75" s="1"/>
  <c r="J57" i="75"/>
  <c r="I57" i="75"/>
  <c r="L57" i="75" s="1"/>
  <c r="T56" i="75"/>
  <c r="S56" i="75"/>
  <c r="R56" i="75"/>
  <c r="L56" i="75"/>
  <c r="Q56" i="75" s="1"/>
  <c r="J56" i="75"/>
  <c r="K56" i="75" s="1"/>
  <c r="I56" i="75"/>
  <c r="P56" i="75" s="1"/>
  <c r="T55" i="75"/>
  <c r="Q55" i="75"/>
  <c r="J55" i="75"/>
  <c r="K55" i="75" s="1"/>
  <c r="I55" i="75"/>
  <c r="T54" i="75"/>
  <c r="Q54" i="75"/>
  <c r="K54" i="75"/>
  <c r="J54" i="75"/>
  <c r="I54" i="75"/>
  <c r="T53" i="75"/>
  <c r="Q53" i="75"/>
  <c r="M53" i="75"/>
  <c r="L53" i="75"/>
  <c r="K53" i="75"/>
  <c r="J53" i="75"/>
  <c r="I53" i="75"/>
  <c r="T52" i="75"/>
  <c r="Q52" i="75"/>
  <c r="O52" i="75"/>
  <c r="N52" i="75"/>
  <c r="R52" i="75" s="1"/>
  <c r="L52" i="75"/>
  <c r="K52" i="75"/>
  <c r="J52" i="75"/>
  <c r="I52" i="75"/>
  <c r="T51" i="75"/>
  <c r="Q51" i="75"/>
  <c r="O51" i="75"/>
  <c r="J51" i="75"/>
  <c r="I51" i="75"/>
  <c r="T50" i="75"/>
  <c r="R50" i="75"/>
  <c r="Q50" i="75"/>
  <c r="O50" i="75"/>
  <c r="N50" i="75"/>
  <c r="K50" i="75"/>
  <c r="J50" i="75"/>
  <c r="I50" i="75"/>
  <c r="L50" i="75" s="1"/>
  <c r="T49" i="75"/>
  <c r="Q49" i="75"/>
  <c r="L49" i="75"/>
  <c r="J49" i="75"/>
  <c r="K49" i="75" s="1"/>
  <c r="I49" i="75"/>
  <c r="T48" i="75"/>
  <c r="J48" i="75"/>
  <c r="L48" i="75" s="1"/>
  <c r="I48" i="75"/>
  <c r="O48" i="75" s="1"/>
  <c r="T47" i="75"/>
  <c r="O47" i="75"/>
  <c r="J47" i="75"/>
  <c r="I47" i="75"/>
  <c r="M46" i="75"/>
  <c r="J46" i="75"/>
  <c r="H46" i="75"/>
  <c r="S45" i="75"/>
  <c r="R45" i="75"/>
  <c r="Q45" i="75"/>
  <c r="T44" i="75"/>
  <c r="S44" i="75"/>
  <c r="R44" i="75"/>
  <c r="K44" i="75"/>
  <c r="I44" i="75"/>
  <c r="T43" i="75"/>
  <c r="S43" i="75"/>
  <c r="R43" i="75"/>
  <c r="K43" i="75"/>
  <c r="I43" i="75"/>
  <c r="L43" i="75" s="1"/>
  <c r="Q43" i="75" s="1"/>
  <c r="T42" i="75"/>
  <c r="S42" i="75"/>
  <c r="R42" i="75"/>
  <c r="K42" i="75"/>
  <c r="I42" i="75"/>
  <c r="L42" i="75" s="1"/>
  <c r="Q42" i="75" s="1"/>
  <c r="T41" i="75"/>
  <c r="R41" i="75"/>
  <c r="O41" i="75"/>
  <c r="S41" i="75" s="1"/>
  <c r="L41" i="75"/>
  <c r="Q41" i="75" s="1"/>
  <c r="K41" i="75"/>
  <c r="I41" i="75"/>
  <c r="N41" i="75" s="1"/>
  <c r="T40" i="75"/>
  <c r="K40" i="75"/>
  <c r="I40" i="75"/>
  <c r="T39" i="75"/>
  <c r="N39" i="75"/>
  <c r="R39" i="75" s="1"/>
  <c r="L39" i="75"/>
  <c r="K39" i="75"/>
  <c r="I39" i="75"/>
  <c r="O39" i="75" s="1"/>
  <c r="T38" i="75"/>
  <c r="S38" i="75"/>
  <c r="O38" i="75"/>
  <c r="N38" i="75"/>
  <c r="R38" i="75" s="1"/>
  <c r="K38" i="75"/>
  <c r="I38" i="75"/>
  <c r="L38" i="75" s="1"/>
  <c r="P38" i="75" s="1"/>
  <c r="Q38" i="75" s="1"/>
  <c r="T37" i="75"/>
  <c r="R37" i="75"/>
  <c r="O37" i="75"/>
  <c r="L37" i="75"/>
  <c r="S37" i="75" s="1"/>
  <c r="K37" i="75"/>
  <c r="I37" i="75"/>
  <c r="N37" i="75" s="1"/>
  <c r="T36" i="75"/>
  <c r="K36" i="75"/>
  <c r="I36" i="75"/>
  <c r="T35" i="75"/>
  <c r="N35" i="75"/>
  <c r="R35" i="75" s="1"/>
  <c r="L35" i="75"/>
  <c r="K35" i="75"/>
  <c r="I35" i="75"/>
  <c r="O35" i="75" s="1"/>
  <c r="T34" i="75"/>
  <c r="S34" i="75"/>
  <c r="P34" i="75"/>
  <c r="Q34" i="75" s="1"/>
  <c r="K34" i="75"/>
  <c r="I34" i="75"/>
  <c r="L34" i="75" s="1"/>
  <c r="T33" i="75"/>
  <c r="P33" i="75"/>
  <c r="Q33" i="75" s="1"/>
  <c r="O33" i="75"/>
  <c r="L33" i="75"/>
  <c r="S33" i="75" s="1"/>
  <c r="K33" i="75"/>
  <c r="I33" i="75"/>
  <c r="N33" i="75" s="1"/>
  <c r="R33" i="75" s="1"/>
  <c r="T32" i="75"/>
  <c r="O32" i="75"/>
  <c r="K32" i="75"/>
  <c r="I32" i="75"/>
  <c r="T31" i="75"/>
  <c r="Q31" i="75"/>
  <c r="S31" i="75" s="1"/>
  <c r="N31" i="75"/>
  <c r="R31" i="75" s="1"/>
  <c r="L31" i="75"/>
  <c r="P31" i="75" s="1"/>
  <c r="K31" i="75"/>
  <c r="I31" i="75"/>
  <c r="O31" i="75" s="1"/>
  <c r="T30" i="75"/>
  <c r="K30" i="75"/>
  <c r="I30" i="75"/>
  <c r="L30" i="75" s="1"/>
  <c r="P30" i="75" s="1"/>
  <c r="Q30" i="75" s="1"/>
  <c r="S30" i="75" s="1"/>
  <c r="T29" i="75"/>
  <c r="Q29" i="75"/>
  <c r="S29" i="75" s="1"/>
  <c r="P29" i="75"/>
  <c r="O29" i="75"/>
  <c r="L29" i="75"/>
  <c r="K29" i="75"/>
  <c r="I29" i="75"/>
  <c r="N29" i="75" s="1"/>
  <c r="R29" i="75" s="1"/>
  <c r="T28" i="75"/>
  <c r="O28" i="75"/>
  <c r="K28" i="75"/>
  <c r="I28" i="75"/>
  <c r="T27" i="75"/>
  <c r="Q27" i="75"/>
  <c r="S27" i="75" s="1"/>
  <c r="N27" i="75"/>
  <c r="R27" i="75" s="1"/>
  <c r="L27" i="75"/>
  <c r="P27" i="75" s="1"/>
  <c r="K27" i="75"/>
  <c r="I27" i="75"/>
  <c r="O27" i="75" s="1"/>
  <c r="T26" i="75"/>
  <c r="O26" i="75"/>
  <c r="N26" i="75"/>
  <c r="R26" i="75" s="1"/>
  <c r="K26" i="75"/>
  <c r="I26" i="75"/>
  <c r="L26" i="75" s="1"/>
  <c r="P26" i="75" s="1"/>
  <c r="Q26" i="75" s="1"/>
  <c r="S26" i="75" s="1"/>
  <c r="T25" i="75"/>
  <c r="R25" i="75"/>
  <c r="O25" i="75"/>
  <c r="L25" i="75"/>
  <c r="P25" i="75" s="1"/>
  <c r="Q25" i="75" s="1"/>
  <c r="S25" i="75" s="1"/>
  <c r="K25" i="75"/>
  <c r="I25" i="75"/>
  <c r="N25" i="75" s="1"/>
  <c r="T24" i="75"/>
  <c r="K24" i="75"/>
  <c r="I24" i="75"/>
  <c r="T23" i="75"/>
  <c r="N23" i="75"/>
  <c r="R23" i="75" s="1"/>
  <c r="L23" i="75"/>
  <c r="P23" i="75" s="1"/>
  <c r="Q23" i="75" s="1"/>
  <c r="S23" i="75" s="1"/>
  <c r="K23" i="75"/>
  <c r="I23" i="75"/>
  <c r="O23" i="75" s="1"/>
  <c r="T22" i="75"/>
  <c r="S22" i="75"/>
  <c r="P22" i="75"/>
  <c r="Q22" i="75" s="1"/>
  <c r="O22" i="75"/>
  <c r="N22" i="75"/>
  <c r="R22" i="75" s="1"/>
  <c r="K22" i="75"/>
  <c r="I22" i="75"/>
  <c r="L22" i="75" s="1"/>
  <c r="T21" i="75"/>
  <c r="S21" i="75"/>
  <c r="R21" i="75"/>
  <c r="P21" i="75"/>
  <c r="Q21" i="75" s="1"/>
  <c r="O21" i="75"/>
  <c r="N21" i="75"/>
  <c r="K21" i="75"/>
  <c r="P20" i="75"/>
  <c r="O20" i="75"/>
  <c r="M20" i="75"/>
  <c r="L20" i="75"/>
  <c r="I20" i="75"/>
  <c r="H20" i="75"/>
  <c r="T19" i="75"/>
  <c r="Q19" i="75"/>
  <c r="S19" i="75" s="1"/>
  <c r="S20" i="75" s="1"/>
  <c r="O19" i="75"/>
  <c r="N19" i="75"/>
  <c r="L19" i="75"/>
  <c r="P19" i="75" s="1"/>
  <c r="K19" i="75"/>
  <c r="K20" i="75" s="1"/>
  <c r="J19" i="75"/>
  <c r="J20" i="75" s="1"/>
  <c r="I19" i="75"/>
  <c r="M18" i="75"/>
  <c r="H18" i="75"/>
  <c r="T17" i="75"/>
  <c r="L17" i="75"/>
  <c r="P17" i="75" s="1"/>
  <c r="Q17" i="75" s="1"/>
  <c r="S17" i="75" s="1"/>
  <c r="K17" i="75"/>
  <c r="J17" i="75"/>
  <c r="I17" i="75"/>
  <c r="O17" i="75" s="1"/>
  <c r="T16" i="75"/>
  <c r="O16" i="75"/>
  <c r="J16" i="75"/>
  <c r="I16" i="75"/>
  <c r="T15" i="75"/>
  <c r="J15" i="75"/>
  <c r="I15" i="75"/>
  <c r="M14" i="75"/>
  <c r="J14" i="75"/>
  <c r="I14" i="75"/>
  <c r="H14" i="75"/>
  <c r="T13" i="75"/>
  <c r="R13" i="75"/>
  <c r="O13" i="75"/>
  <c r="N13" i="75"/>
  <c r="L13" i="75"/>
  <c r="P13" i="75" s="1"/>
  <c r="Q13" i="75" s="1"/>
  <c r="S13" i="75" s="1"/>
  <c r="K13" i="75"/>
  <c r="T12" i="75"/>
  <c r="O12" i="75"/>
  <c r="O14" i="75" s="1"/>
  <c r="N12" i="75"/>
  <c r="N14" i="75" s="1"/>
  <c r="L12" i="75"/>
  <c r="K12" i="75"/>
  <c r="K14" i="75" s="1"/>
  <c r="M11" i="75"/>
  <c r="H11" i="75"/>
  <c r="T10" i="75"/>
  <c r="J10" i="75"/>
  <c r="K10" i="75" s="1"/>
  <c r="I10" i="75"/>
  <c r="T9" i="75"/>
  <c r="O9" i="75"/>
  <c r="N9" i="75"/>
  <c r="R9" i="75" s="1"/>
  <c r="L9" i="75"/>
  <c r="P9" i="75" s="1"/>
  <c r="Q9" i="75" s="1"/>
  <c r="S9" i="75" s="1"/>
  <c r="J9" i="75"/>
  <c r="K9" i="75" s="1"/>
  <c r="I9" i="75"/>
  <c r="T8" i="75"/>
  <c r="K8" i="75"/>
  <c r="J8" i="75"/>
  <c r="I8" i="75"/>
  <c r="O8" i="75" s="1"/>
  <c r="T7" i="75"/>
  <c r="O7" i="75"/>
  <c r="J7" i="75"/>
  <c r="I7" i="75"/>
  <c r="C4" i="75"/>
  <c r="M210" i="60"/>
  <c r="N210" i="60"/>
  <c r="O210" i="60"/>
  <c r="H210" i="60"/>
  <c r="I206" i="60"/>
  <c r="J206" i="60"/>
  <c r="K206" i="60" s="1"/>
  <c r="S206" i="60" s="1"/>
  <c r="R206" i="60"/>
  <c r="T206" i="60"/>
  <c r="I207" i="60"/>
  <c r="P207" i="60" s="1"/>
  <c r="J207" i="60"/>
  <c r="K207" i="60" s="1"/>
  <c r="S207" i="60" s="1"/>
  <c r="R207" i="60"/>
  <c r="T207" i="60"/>
  <c r="I208" i="60"/>
  <c r="J208" i="60"/>
  <c r="K208" i="60" s="1"/>
  <c r="S208" i="60" s="1"/>
  <c r="R208" i="60"/>
  <c r="T208" i="60"/>
  <c r="I209" i="60"/>
  <c r="P209" i="60" s="1"/>
  <c r="J209" i="60"/>
  <c r="K209" i="60" s="1"/>
  <c r="S209" i="60" s="1"/>
  <c r="R209" i="60"/>
  <c r="T209" i="60"/>
  <c r="T205" i="60"/>
  <c r="R205" i="60"/>
  <c r="J205" i="60"/>
  <c r="K205" i="60" s="1"/>
  <c r="S205" i="60" s="1"/>
  <c r="L206" i="60" l="1"/>
  <c r="Q206" i="60" s="1"/>
  <c r="S210" i="60"/>
  <c r="L208" i="60"/>
  <c r="Q208" i="60" s="1"/>
  <c r="L209" i="60"/>
  <c r="Q209" i="60" s="1"/>
  <c r="L205" i="60"/>
  <c r="Q205" i="60" s="1"/>
  <c r="R210" i="60"/>
  <c r="P208" i="60"/>
  <c r="K210" i="60"/>
  <c r="I210" i="60"/>
  <c r="J210" i="60"/>
  <c r="L207" i="60"/>
  <c r="M196" i="75" a="1"/>
  <c r="M196" i="75" s="1"/>
  <c r="O15" i="75"/>
  <c r="O18" i="75" s="1"/>
  <c r="L15" i="75"/>
  <c r="I18" i="75"/>
  <c r="N15" i="75"/>
  <c r="N24" i="75"/>
  <c r="R24" i="75" s="1"/>
  <c r="R46" i="75" s="1"/>
  <c r="L24" i="75"/>
  <c r="P24" i="75" s="1"/>
  <c r="Q24" i="75" s="1"/>
  <c r="S24" i="75" s="1"/>
  <c r="O24" i="75"/>
  <c r="P62" i="75"/>
  <c r="L62" i="75"/>
  <c r="Q62" i="75" s="1"/>
  <c r="L14" i="75"/>
  <c r="P12" i="75"/>
  <c r="O10" i="75"/>
  <c r="I11" i="75"/>
  <c r="I196" i="75" s="1" a="1"/>
  <c r="I196" i="75" s="1"/>
  <c r="N10" i="75"/>
  <c r="R10" i="75" s="1"/>
  <c r="L10" i="75"/>
  <c r="P10" i="75" s="1"/>
  <c r="Q10" i="75" s="1"/>
  <c r="S10" i="75" s="1"/>
  <c r="N20" i="75"/>
  <c r="R19" i="75"/>
  <c r="R20" i="75" s="1"/>
  <c r="K123" i="75"/>
  <c r="K131" i="75" s="1"/>
  <c r="J131" i="75"/>
  <c r="L123" i="75"/>
  <c r="J11" i="75"/>
  <c r="L7" i="75"/>
  <c r="K7" i="75"/>
  <c r="L16" i="75"/>
  <c r="P16" i="75" s="1"/>
  <c r="Q16" i="75" s="1"/>
  <c r="S16" i="75" s="1"/>
  <c r="K16" i="75"/>
  <c r="N16" i="75"/>
  <c r="R16" i="75" s="1"/>
  <c r="O71" i="75"/>
  <c r="L71" i="75"/>
  <c r="P71" i="75" s="1"/>
  <c r="Q71" i="75" s="1"/>
  <c r="S71" i="75" s="1"/>
  <c r="N71" i="75"/>
  <c r="R71" i="75" s="1"/>
  <c r="R106" i="75"/>
  <c r="O131" i="75"/>
  <c r="L44" i="75"/>
  <c r="Q44" i="75" s="1"/>
  <c r="P44" i="75"/>
  <c r="S48" i="75"/>
  <c r="P48" i="75"/>
  <c r="Q48" i="75" s="1"/>
  <c r="O55" i="75"/>
  <c r="L55" i="75"/>
  <c r="I67" i="75"/>
  <c r="N55" i="75"/>
  <c r="R55" i="75" s="1"/>
  <c r="K98" i="75"/>
  <c r="L98" i="75"/>
  <c r="P129" i="75"/>
  <c r="Q129" i="75"/>
  <c r="S168" i="75"/>
  <c r="S169" i="75" s="1"/>
  <c r="K169" i="75"/>
  <c r="O11" i="75"/>
  <c r="S39" i="75"/>
  <c r="P39" i="75"/>
  <c r="Q39" i="75" s="1"/>
  <c r="H196" i="75" a="1"/>
  <c r="H196" i="75" s="1"/>
  <c r="K96" i="75"/>
  <c r="K102" i="75" s="1"/>
  <c r="N96" i="75"/>
  <c r="J102" i="75"/>
  <c r="L96" i="75"/>
  <c r="N36" i="75"/>
  <c r="R36" i="75" s="1"/>
  <c r="L36" i="75"/>
  <c r="L77" i="75"/>
  <c r="P77" i="75" s="1"/>
  <c r="Q77" i="75" s="1"/>
  <c r="S77" i="75" s="1"/>
  <c r="O77" i="75"/>
  <c r="N100" i="75"/>
  <c r="R100" i="75" s="1"/>
  <c r="O100" i="75"/>
  <c r="L100" i="75"/>
  <c r="P115" i="75"/>
  <c r="Q115" i="75"/>
  <c r="K138" i="75"/>
  <c r="S138" i="75" s="1"/>
  <c r="L138" i="75"/>
  <c r="Q138" i="75" s="1"/>
  <c r="K178" i="75"/>
  <c r="S178" i="75" s="1"/>
  <c r="L178" i="75"/>
  <c r="Q20" i="75"/>
  <c r="L47" i="75"/>
  <c r="J67" i="75"/>
  <c r="K47" i="75"/>
  <c r="K48" i="75"/>
  <c r="N54" i="75"/>
  <c r="R54" i="75" s="1"/>
  <c r="L54" i="75"/>
  <c r="K88" i="75"/>
  <c r="J95" i="75"/>
  <c r="K118" i="75"/>
  <c r="L118" i="75"/>
  <c r="P145" i="75"/>
  <c r="N7" i="75"/>
  <c r="K46" i="75"/>
  <c r="N28" i="75"/>
  <c r="R28" i="75" s="1"/>
  <c r="L28" i="75"/>
  <c r="P28" i="75" s="1"/>
  <c r="Q28" i="75" s="1"/>
  <c r="S28" i="75" s="1"/>
  <c r="N30" i="75"/>
  <c r="R30" i="75" s="1"/>
  <c r="O36" i="75"/>
  <c r="P37" i="75"/>
  <c r="Q37" i="75" s="1"/>
  <c r="P43" i="75"/>
  <c r="I46" i="75"/>
  <c r="N47" i="75"/>
  <c r="L88" i="75"/>
  <c r="P88" i="75" s="1"/>
  <c r="Q88" i="75" s="1"/>
  <c r="S88" i="75" s="1"/>
  <c r="K92" i="75"/>
  <c r="S92" i="75" s="1"/>
  <c r="N92" i="75"/>
  <c r="R92" i="75" s="1"/>
  <c r="O97" i="75"/>
  <c r="L97" i="75"/>
  <c r="N97" i="75"/>
  <c r="R97" i="75" s="1"/>
  <c r="I102" i="75"/>
  <c r="J122" i="75"/>
  <c r="N136" i="75"/>
  <c r="R136" i="75" s="1"/>
  <c r="R140" i="75" s="1"/>
  <c r="L136" i="75"/>
  <c r="K180" i="75"/>
  <c r="S180" i="75" s="1"/>
  <c r="S181" i="75" s="1"/>
  <c r="L180" i="75"/>
  <c r="Q180" i="75" s="1"/>
  <c r="O67" i="75"/>
  <c r="N77" i="75"/>
  <c r="R77" i="75" s="1"/>
  <c r="Q92" i="75"/>
  <c r="P92" i="75"/>
  <c r="O99" i="75"/>
  <c r="L99" i="75"/>
  <c r="O104" i="75"/>
  <c r="O105" i="75" s="1"/>
  <c r="N104" i="75"/>
  <c r="R104" i="75" s="1"/>
  <c r="I105" i="75"/>
  <c r="O107" i="75"/>
  <c r="L107" i="75"/>
  <c r="P107" i="75" s="1"/>
  <c r="Q107" i="75" s="1"/>
  <c r="S107" i="75" s="1"/>
  <c r="I117" i="75"/>
  <c r="S132" i="75"/>
  <c r="P137" i="75"/>
  <c r="L141" i="75"/>
  <c r="L145" i="75" s="1"/>
  <c r="I145" i="75"/>
  <c r="J18" i="75"/>
  <c r="J196" i="75" s="1" a="1"/>
  <c r="J196" i="75" s="1"/>
  <c r="K15" i="75"/>
  <c r="I84" i="75"/>
  <c r="N68" i="75"/>
  <c r="L68" i="75"/>
  <c r="O102" i="75"/>
  <c r="O30" i="75"/>
  <c r="O46" i="75" s="1"/>
  <c r="L8" i="75"/>
  <c r="P8" i="75" s="1"/>
  <c r="Q8" i="75" s="1"/>
  <c r="S8" i="75" s="1"/>
  <c r="R12" i="75"/>
  <c r="R14" i="75" s="1"/>
  <c r="S35" i="75"/>
  <c r="P35" i="75"/>
  <c r="Q35" i="75" s="1"/>
  <c r="O54" i="75"/>
  <c r="L58" i="75"/>
  <c r="Q58" i="75" s="1"/>
  <c r="K58" i="75"/>
  <c r="S58" i="75" s="1"/>
  <c r="N74" i="75"/>
  <c r="R74" i="75" s="1"/>
  <c r="L74" i="75"/>
  <c r="P74" i="75" s="1"/>
  <c r="Q74" i="75" s="1"/>
  <c r="S74" i="75" s="1"/>
  <c r="L86" i="75"/>
  <c r="P86" i="75" s="1"/>
  <c r="L101" i="75"/>
  <c r="P101" i="75" s="1"/>
  <c r="Q101" i="75" s="1"/>
  <c r="S101" i="75" s="1"/>
  <c r="N101" i="75"/>
  <c r="R101" i="75" s="1"/>
  <c r="S146" i="75"/>
  <c r="S154" i="75" s="1"/>
  <c r="K154" i="75"/>
  <c r="N159" i="75"/>
  <c r="R155" i="75"/>
  <c r="R159" i="75" s="1"/>
  <c r="N8" i="75"/>
  <c r="R8" i="75" s="1"/>
  <c r="N34" i="75"/>
  <c r="R34" i="75" s="1"/>
  <c r="N40" i="75"/>
  <c r="R40" i="75" s="1"/>
  <c r="L40" i="75"/>
  <c r="N32" i="75"/>
  <c r="R32" i="75" s="1"/>
  <c r="L32" i="75"/>
  <c r="O40" i="75"/>
  <c r="P41" i="75"/>
  <c r="L51" i="75"/>
  <c r="K51" i="75"/>
  <c r="L64" i="75"/>
  <c r="Q64" i="75" s="1"/>
  <c r="K95" i="75"/>
  <c r="N107" i="75"/>
  <c r="R107" i="75" s="1"/>
  <c r="O133" i="75"/>
  <c r="S133" i="75" s="1"/>
  <c r="L133" i="75"/>
  <c r="S166" i="75"/>
  <c r="S167" i="75" s="1"/>
  <c r="K167" i="75"/>
  <c r="O34" i="75"/>
  <c r="O49" i="75"/>
  <c r="N49" i="75"/>
  <c r="R49" i="75" s="1"/>
  <c r="N51" i="75"/>
  <c r="R51" i="75" s="1"/>
  <c r="O53" i="75"/>
  <c r="N53" i="75"/>
  <c r="R53" i="75" s="1"/>
  <c r="O74" i="75"/>
  <c r="O79" i="75"/>
  <c r="L79" i="75"/>
  <c r="P79" i="75" s="1"/>
  <c r="Q79" i="75" s="1"/>
  <c r="S79" i="75" s="1"/>
  <c r="S85" i="75"/>
  <c r="L90" i="75"/>
  <c r="P90" i="75" s="1"/>
  <c r="Q90" i="75" s="1"/>
  <c r="S90" i="75" s="1"/>
  <c r="N98" i="75"/>
  <c r="R98" i="75" s="1"/>
  <c r="N99" i="75"/>
  <c r="R99" i="75" s="1"/>
  <c r="L104" i="75"/>
  <c r="P104" i="75" s="1"/>
  <c r="Q104" i="75" s="1"/>
  <c r="S104" i="75" s="1"/>
  <c r="K117" i="75"/>
  <c r="S116" i="75"/>
  <c r="I140" i="75"/>
  <c r="L135" i="75"/>
  <c r="S141" i="75"/>
  <c r="S145" i="75" s="1"/>
  <c r="N145" i="75"/>
  <c r="R141" i="75"/>
  <c r="R145" i="75" s="1"/>
  <c r="J181" i="75"/>
  <c r="N17" i="75"/>
  <c r="R17" i="75" s="1"/>
  <c r="N48" i="75"/>
  <c r="R48" i="75" s="1"/>
  <c r="K103" i="75"/>
  <c r="K105" i="75" s="1"/>
  <c r="J105" i="75"/>
  <c r="N103" i="75"/>
  <c r="L110" i="75"/>
  <c r="P110" i="75" s="1"/>
  <c r="Q110" i="75" s="1"/>
  <c r="S110" i="75" s="1"/>
  <c r="O110" i="75"/>
  <c r="O112" i="75"/>
  <c r="L112" i="75"/>
  <c r="P112" i="75" s="1"/>
  <c r="Q112" i="75" s="1"/>
  <c r="S112" i="75" s="1"/>
  <c r="L167" i="75"/>
  <c r="Q166" i="75"/>
  <c r="Q167" i="75" s="1"/>
  <c r="L103" i="75"/>
  <c r="L106" i="75"/>
  <c r="L108" i="75"/>
  <c r="P108" i="75" s="1"/>
  <c r="Q108" i="75" s="1"/>
  <c r="S108" i="75" s="1"/>
  <c r="L157" i="75"/>
  <c r="P157" i="75" s="1"/>
  <c r="Q157" i="75" s="1"/>
  <c r="S157" i="75" s="1"/>
  <c r="S160" i="75"/>
  <c r="S165" i="75" s="1"/>
  <c r="J165" i="75"/>
  <c r="O72" i="75"/>
  <c r="O84" i="75" s="1"/>
  <c r="N108" i="75"/>
  <c r="R108" i="75" s="1"/>
  <c r="N110" i="75"/>
  <c r="R110" i="75" s="1"/>
  <c r="N111" i="75"/>
  <c r="R111" i="75" s="1"/>
  <c r="N112" i="75"/>
  <c r="R112" i="75" s="1"/>
  <c r="L114" i="75"/>
  <c r="O115" i="75"/>
  <c r="S115" i="75" s="1"/>
  <c r="N116" i="75"/>
  <c r="R116" i="75" s="1"/>
  <c r="I131" i="75"/>
  <c r="I154" i="75"/>
  <c r="K155" i="75"/>
  <c r="J159" i="75"/>
  <c r="P166" i="75"/>
  <c r="P167" i="75" s="1"/>
  <c r="I181" i="75"/>
  <c r="P179" i="75"/>
  <c r="P181" i="75" s="1"/>
  <c r="O95" i="75"/>
  <c r="N86" i="75"/>
  <c r="R86" i="75" s="1"/>
  <c r="R95" i="75" s="1"/>
  <c r="L89" i="75"/>
  <c r="P89" i="75" s="1"/>
  <c r="Q89" i="75" s="1"/>
  <c r="S89" i="75" s="1"/>
  <c r="O89" i="75"/>
  <c r="O91" i="75"/>
  <c r="L91" i="75"/>
  <c r="P91" i="75" s="1"/>
  <c r="Q91" i="75" s="1"/>
  <c r="S91" i="75" s="1"/>
  <c r="N114" i="75"/>
  <c r="R114" i="75" s="1"/>
  <c r="O116" i="75"/>
  <c r="N123" i="75"/>
  <c r="N125" i="75"/>
  <c r="R125" i="75" s="1"/>
  <c r="N127" i="75"/>
  <c r="R127" i="75" s="1"/>
  <c r="L128" i="75"/>
  <c r="P128" i="75" s="1"/>
  <c r="Q128" i="75" s="1"/>
  <c r="S128" i="75" s="1"/>
  <c r="O128" i="75"/>
  <c r="L130" i="75"/>
  <c r="Q130" i="75" s="1"/>
  <c r="S135" i="75"/>
  <c r="L140" i="75"/>
  <c r="L154" i="75"/>
  <c r="Q146" i="75"/>
  <c r="Q154" i="75" s="1"/>
  <c r="L159" i="75"/>
  <c r="P155" i="75"/>
  <c r="P159" i="75" s="1"/>
  <c r="K181" i="75"/>
  <c r="R118" i="75"/>
  <c r="R122" i="75" s="1"/>
  <c r="L168" i="75"/>
  <c r="P206" i="60"/>
  <c r="P205" i="60"/>
  <c r="P210" i="60" l="1"/>
  <c r="Q207" i="60"/>
  <c r="Q210" i="60" s="1"/>
  <c r="L210" i="60"/>
  <c r="S46" i="75"/>
  <c r="P68" i="75"/>
  <c r="L84" i="75"/>
  <c r="L102" i="75"/>
  <c r="P96" i="75"/>
  <c r="S96" i="75"/>
  <c r="Q46" i="75"/>
  <c r="L169" i="75"/>
  <c r="Q168" i="75"/>
  <c r="Q169" i="75" s="1"/>
  <c r="Q114" i="75"/>
  <c r="P114" i="75"/>
  <c r="Q133" i="75"/>
  <c r="P133" i="75"/>
  <c r="N84" i="75"/>
  <c r="R68" i="75"/>
  <c r="R84" i="75" s="1"/>
  <c r="S140" i="75"/>
  <c r="S99" i="75"/>
  <c r="P99" i="75"/>
  <c r="Q99" i="75" s="1"/>
  <c r="S97" i="75"/>
  <c r="P97" i="75"/>
  <c r="Q97" i="75" s="1"/>
  <c r="R7" i="75"/>
  <c r="N11" i="75"/>
  <c r="N196" i="75" s="1" a="1"/>
  <c r="N196" i="75" s="1"/>
  <c r="N199" i="75" s="1"/>
  <c r="Q178" i="75"/>
  <c r="Q181" i="75" s="1"/>
  <c r="L181" i="75"/>
  <c r="P100" i="75"/>
  <c r="Q100" i="75" s="1"/>
  <c r="S100" i="75"/>
  <c r="R117" i="75"/>
  <c r="K11" i="75"/>
  <c r="K196" i="75" s="1" a="1"/>
  <c r="K196" i="75" s="1"/>
  <c r="P14" i="75"/>
  <c r="Q12" i="75"/>
  <c r="R15" i="75"/>
  <c r="N18" i="75"/>
  <c r="R18" i="75" s="1"/>
  <c r="P36" i="75"/>
  <c r="Q36" i="75" s="1"/>
  <c r="S36" i="75"/>
  <c r="R123" i="75"/>
  <c r="R131" i="75" s="1"/>
  <c r="N131" i="75"/>
  <c r="R47" i="75"/>
  <c r="R67" i="75" s="1"/>
  <c r="N67" i="75"/>
  <c r="Q86" i="75"/>
  <c r="P95" i="75"/>
  <c r="N102" i="75"/>
  <c r="R96" i="75"/>
  <c r="R102" i="75" s="1"/>
  <c r="N117" i="75"/>
  <c r="L11" i="75"/>
  <c r="L196" i="75" s="1" a="1"/>
  <c r="L196" i="75" s="1"/>
  <c r="P7" i="75"/>
  <c r="L117" i="75"/>
  <c r="P106" i="75"/>
  <c r="R103" i="75"/>
  <c r="N105" i="75"/>
  <c r="R105" i="75" s="1"/>
  <c r="P32" i="75"/>
  <c r="Q32" i="75" s="1"/>
  <c r="S32" i="75"/>
  <c r="K18" i="75"/>
  <c r="P136" i="75"/>
  <c r="Q136" i="75"/>
  <c r="L95" i="75"/>
  <c r="N140" i="75"/>
  <c r="Q159" i="75"/>
  <c r="P15" i="75"/>
  <c r="L18" i="75"/>
  <c r="S118" i="75"/>
  <c r="S122" i="75" s="1"/>
  <c r="K122" i="75"/>
  <c r="O118" i="75"/>
  <c r="O122" i="75" s="1"/>
  <c r="L131" i="75"/>
  <c r="P123" i="75"/>
  <c r="N46" i="75"/>
  <c r="L46" i="75"/>
  <c r="K159" i="75"/>
  <c r="S155" i="75"/>
  <c r="S159" i="75" s="1"/>
  <c r="S98" i="75"/>
  <c r="P98" i="75"/>
  <c r="Q98" i="75" s="1"/>
  <c r="N95" i="75"/>
  <c r="L67" i="75"/>
  <c r="P47" i="75"/>
  <c r="L105" i="75"/>
  <c r="P103" i="75"/>
  <c r="Q135" i="75"/>
  <c r="P135" i="75"/>
  <c r="P40" i="75"/>
  <c r="Q40" i="75" s="1"/>
  <c r="S40" i="75"/>
  <c r="O117" i="75"/>
  <c r="O196" i="75" s="1" a="1"/>
  <c r="O196" i="75" s="1"/>
  <c r="O140" i="75"/>
  <c r="L122" i="75"/>
  <c r="P118" i="75"/>
  <c r="K67" i="75"/>
  <c r="K140" i="75"/>
  <c r="K188" i="60"/>
  <c r="I188" i="60"/>
  <c r="N188" i="60" l="1"/>
  <c r="R188" i="60" s="1"/>
  <c r="O188" i="60"/>
  <c r="S188" i="60" s="1"/>
  <c r="P67" i="75"/>
  <c r="Q47" i="75"/>
  <c r="Q140" i="75"/>
  <c r="S102" i="75"/>
  <c r="Q15" i="75"/>
  <c r="S15" i="75" s="1"/>
  <c r="P18" i="75"/>
  <c r="Q18" i="75" s="1"/>
  <c r="S18" i="75" s="1"/>
  <c r="P102" i="75"/>
  <c r="Q96" i="75"/>
  <c r="Q102" i="75" s="1"/>
  <c r="Q123" i="75"/>
  <c r="P131" i="75"/>
  <c r="P117" i="75"/>
  <c r="Q106" i="75"/>
  <c r="Q68" i="75"/>
  <c r="P84" i="75"/>
  <c r="P196" i="75" a="1"/>
  <c r="P196" i="75" s="1"/>
  <c r="Q7" i="75"/>
  <c r="P11" i="75"/>
  <c r="Q14" i="75"/>
  <c r="S12" i="75"/>
  <c r="S14" i="75" s="1"/>
  <c r="P122" i="75"/>
  <c r="Q118" i="75"/>
  <c r="Q122" i="75" s="1"/>
  <c r="P105" i="75"/>
  <c r="Q103" i="75"/>
  <c r="R196" i="75" a="1"/>
  <c r="R196" i="75" s="1"/>
  <c r="R11" i="75"/>
  <c r="P140" i="75"/>
  <c r="S86" i="75"/>
  <c r="S95" i="75" s="1"/>
  <c r="Q95" i="75"/>
  <c r="P46" i="75"/>
  <c r="L188" i="60"/>
  <c r="P188" i="60" l="1"/>
  <c r="Q188" i="60"/>
  <c r="Q117" i="75"/>
  <c r="S106" i="75"/>
  <c r="S117" i="75" s="1"/>
  <c r="Q11" i="75"/>
  <c r="Q196" i="75" s="1" a="1"/>
  <c r="Q196" i="75" s="1"/>
  <c r="S7" i="75"/>
  <c r="Q105" i="75"/>
  <c r="S103" i="75"/>
  <c r="S105" i="75" s="1"/>
  <c r="Q84" i="75"/>
  <c r="S68" i="75"/>
  <c r="S84" i="75" s="1"/>
  <c r="S47" i="75"/>
  <c r="S67" i="75" s="1"/>
  <c r="Q67" i="75"/>
  <c r="Q131" i="75"/>
  <c r="S123" i="75"/>
  <c r="S131" i="75" s="1"/>
  <c r="S11" i="75" l="1"/>
  <c r="S196" i="75" s="1" a="1"/>
  <c r="S196" i="75" s="1"/>
  <c r="E47" i="66" l="1"/>
  <c r="I46" i="66"/>
  <c r="T194" i="60" l="1"/>
  <c r="J194" i="60"/>
  <c r="J195" i="60" s="1"/>
  <c r="I194" i="60"/>
  <c r="M195" i="60"/>
  <c r="H195" i="60"/>
  <c r="L196" i="60"/>
  <c r="T186" i="60"/>
  <c r="R186" i="60"/>
  <c r="J186" i="60"/>
  <c r="K186" i="60" s="1"/>
  <c r="I186" i="60"/>
  <c r="Q196" i="60" l="1"/>
  <c r="P196" i="60"/>
  <c r="I195" i="60"/>
  <c r="O194" i="60"/>
  <c r="N194" i="60"/>
  <c r="K194" i="60"/>
  <c r="L194" i="60"/>
  <c r="K196" i="60"/>
  <c r="S196" i="60" s="1"/>
  <c r="L186" i="60"/>
  <c r="P186" i="60" s="1"/>
  <c r="Q186" i="60" s="1"/>
  <c r="S186" i="60" s="1"/>
  <c r="R194" i="60" l="1"/>
  <c r="R195" i="60" s="1"/>
  <c r="N195" i="60"/>
  <c r="S194" i="60"/>
  <c r="O195" i="60"/>
  <c r="P194" i="60"/>
  <c r="P195" i="60" s="1"/>
  <c r="Q194" i="60"/>
  <c r="K195" i="60"/>
  <c r="Q170" i="60"/>
  <c r="S187" i="60"/>
  <c r="L195" i="60"/>
  <c r="S195" i="60" l="1"/>
  <c r="Q195" i="60"/>
  <c r="H17" i="74" l="1"/>
  <c r="F16" i="74"/>
  <c r="H16" i="74" s="1"/>
  <c r="F15" i="74"/>
  <c r="H15" i="74" s="1"/>
  <c r="F22" i="73"/>
  <c r="I28" i="72"/>
  <c r="I27" i="72"/>
  <c r="I26" i="72"/>
  <c r="I25" i="72"/>
  <c r="I24" i="72"/>
  <c r="I23" i="72"/>
  <c r="I22" i="72"/>
  <c r="I21" i="72"/>
  <c r="E20" i="72"/>
  <c r="M179" i="60"/>
  <c r="N179" i="60"/>
  <c r="O179" i="60"/>
  <c r="H179" i="60"/>
  <c r="R179" i="60"/>
  <c r="J179" i="60"/>
  <c r="I179" i="60" l="1"/>
  <c r="F31" i="73"/>
  <c r="V171" i="60" l="1"/>
  <c r="K179" i="60"/>
  <c r="L179" i="60"/>
  <c r="P179" i="60" l="1"/>
  <c r="F51" i="67"/>
  <c r="F50" i="67"/>
  <c r="F41" i="67"/>
  <c r="F42" i="67"/>
  <c r="F27" i="67"/>
  <c r="F26" i="67"/>
  <c r="F18" i="67"/>
  <c r="F40" i="67"/>
  <c r="F39" i="67"/>
  <c r="L37" i="67"/>
  <c r="F38" i="67"/>
  <c r="F37" i="67"/>
  <c r="L35" i="67"/>
  <c r="F35" i="67"/>
  <c r="F33" i="67"/>
  <c r="J28" i="67"/>
  <c r="L28" i="67" s="1"/>
  <c r="F29" i="67"/>
  <c r="F28" i="67"/>
  <c r="F20" i="67"/>
  <c r="L26" i="67"/>
  <c r="L22" i="67"/>
  <c r="K17" i="67"/>
  <c r="J18" i="67"/>
  <c r="L18" i="67" s="1"/>
  <c r="J17" i="67"/>
  <c r="F17" i="67"/>
  <c r="F16" i="67"/>
  <c r="S179" i="60" l="1"/>
  <c r="Q179" i="60"/>
  <c r="L17" i="67"/>
  <c r="J69" i="67"/>
  <c r="J9" i="67"/>
  <c r="F11" i="67"/>
  <c r="I11" i="67" s="1"/>
  <c r="K24" i="67"/>
  <c r="J24" i="67"/>
  <c r="K7" i="67"/>
  <c r="J7" i="67"/>
  <c r="P31" i="67"/>
  <c r="I31" i="67"/>
  <c r="L12" i="67"/>
  <c r="Q12" i="67"/>
  <c r="J23" i="67"/>
  <c r="Q23" i="67" s="1"/>
  <c r="J8" i="67"/>
  <c r="Q36" i="67"/>
  <c r="Q27" i="67"/>
  <c r="Q21" i="67"/>
  <c r="O89" i="67"/>
  <c r="O88" i="67"/>
  <c r="O87" i="67"/>
  <c r="O86" i="67"/>
  <c r="O85" i="67"/>
  <c r="O84" i="67"/>
  <c r="O83" i="67"/>
  <c r="O82" i="67"/>
  <c r="O81" i="67"/>
  <c r="O80" i="67"/>
  <c r="O79" i="67"/>
  <c r="O78" i="67"/>
  <c r="O77" i="67"/>
  <c r="O76" i="67"/>
  <c r="I69" i="67"/>
  <c r="G69" i="67"/>
  <c r="F69" i="67"/>
  <c r="H65" i="67"/>
  <c r="R64" i="67"/>
  <c r="Q64" i="67"/>
  <c r="P64" i="67"/>
  <c r="L64" i="67"/>
  <c r="I64" i="67"/>
  <c r="R63" i="67"/>
  <c r="Q63" i="67"/>
  <c r="P63" i="67"/>
  <c r="L63" i="67"/>
  <c r="I63" i="67"/>
  <c r="R62" i="67"/>
  <c r="Q62" i="67"/>
  <c r="P62" i="67"/>
  <c r="L62" i="67"/>
  <c r="I62" i="67"/>
  <c r="R61" i="67"/>
  <c r="Q61" i="67"/>
  <c r="P61" i="67"/>
  <c r="L61" i="67"/>
  <c r="I61" i="67"/>
  <c r="R60" i="67"/>
  <c r="Q60" i="67"/>
  <c r="P60" i="67"/>
  <c r="L60" i="67"/>
  <c r="I60" i="67"/>
  <c r="R59" i="67"/>
  <c r="Q59" i="67"/>
  <c r="P59" i="67"/>
  <c r="L59" i="67"/>
  <c r="I59" i="67"/>
  <c r="R58" i="67"/>
  <c r="Q58" i="67"/>
  <c r="P58" i="67"/>
  <c r="L58" i="67"/>
  <c r="I58" i="67"/>
  <c r="R57" i="67"/>
  <c r="Q57" i="67"/>
  <c r="P57" i="67"/>
  <c r="L57" i="67"/>
  <c r="I57" i="67"/>
  <c r="R56" i="67"/>
  <c r="Q56" i="67"/>
  <c r="P56" i="67"/>
  <c r="L56" i="67"/>
  <c r="I56" i="67"/>
  <c r="R55" i="67"/>
  <c r="Q55" i="67"/>
  <c r="P55" i="67"/>
  <c r="L55" i="67"/>
  <c r="I55" i="67"/>
  <c r="R54" i="67"/>
  <c r="Q54" i="67"/>
  <c r="P54" i="67"/>
  <c r="L54" i="67"/>
  <c r="I54" i="67"/>
  <c r="R53" i="67"/>
  <c r="Q53" i="67"/>
  <c r="P53" i="67"/>
  <c r="L53" i="67"/>
  <c r="I53" i="67"/>
  <c r="R52" i="67"/>
  <c r="Q52" i="67"/>
  <c r="P52" i="67"/>
  <c r="L52" i="67"/>
  <c r="I52" i="67"/>
  <c r="R51" i="67"/>
  <c r="Q51" i="67"/>
  <c r="P51" i="67"/>
  <c r="L51" i="67"/>
  <c r="I51" i="67"/>
  <c r="R50" i="67"/>
  <c r="Q50" i="67"/>
  <c r="P50" i="67"/>
  <c r="L50" i="67"/>
  <c r="I50" i="67"/>
  <c r="P25" i="67"/>
  <c r="I25" i="67"/>
  <c r="P24" i="67"/>
  <c r="I24" i="67"/>
  <c r="P23" i="67"/>
  <c r="I23" i="67"/>
  <c r="P14" i="67"/>
  <c r="I14" i="67"/>
  <c r="P12" i="67"/>
  <c r="I12" i="67"/>
  <c r="P11" i="67"/>
  <c r="P9" i="67"/>
  <c r="I9" i="67"/>
  <c r="P8" i="67"/>
  <c r="I8" i="67"/>
  <c r="P7" i="67"/>
  <c r="I7" i="67"/>
  <c r="R49" i="67"/>
  <c r="Q49" i="67"/>
  <c r="P49" i="67"/>
  <c r="L49" i="67"/>
  <c r="I49" i="67"/>
  <c r="R48" i="67"/>
  <c r="Q48" i="67"/>
  <c r="P48" i="67"/>
  <c r="L48" i="67"/>
  <c r="I48" i="67"/>
  <c r="R47" i="67"/>
  <c r="Q47" i="67"/>
  <c r="P47" i="67"/>
  <c r="L47" i="67"/>
  <c r="I47" i="67"/>
  <c r="R46" i="67"/>
  <c r="Q46" i="67"/>
  <c r="P46" i="67"/>
  <c r="L46" i="67"/>
  <c r="I46" i="67"/>
  <c r="R45" i="67"/>
  <c r="Q45" i="67"/>
  <c r="P45" i="67"/>
  <c r="L45" i="67"/>
  <c r="I45" i="67"/>
  <c r="R44" i="67"/>
  <c r="Q44" i="67"/>
  <c r="P44" i="67"/>
  <c r="L44" i="67"/>
  <c r="I44" i="67"/>
  <c r="R43" i="67"/>
  <c r="Q43" i="67"/>
  <c r="P43" i="67"/>
  <c r="L43" i="67"/>
  <c r="I43" i="67"/>
  <c r="R41" i="67"/>
  <c r="Q41" i="67"/>
  <c r="P41" i="67"/>
  <c r="L41" i="67"/>
  <c r="I41" i="67"/>
  <c r="P39" i="67"/>
  <c r="I39" i="67"/>
  <c r="P36" i="67"/>
  <c r="I36" i="67"/>
  <c r="P34" i="67"/>
  <c r="I34" i="67"/>
  <c r="P32" i="67"/>
  <c r="I32" i="67"/>
  <c r="P30" i="67"/>
  <c r="I30" i="67"/>
  <c r="P27" i="67"/>
  <c r="I27" i="67"/>
  <c r="P21" i="67"/>
  <c r="I21" i="67"/>
  <c r="P19" i="67"/>
  <c r="G19" i="67"/>
  <c r="I19" i="67" s="1"/>
  <c r="P16" i="67"/>
  <c r="G16" i="67"/>
  <c r="L34" i="67" l="1"/>
  <c r="L7" i="67"/>
  <c r="L25" i="67"/>
  <c r="Q25" i="67"/>
  <c r="R25" i="67"/>
  <c r="R24" i="67"/>
  <c r="L24" i="67"/>
  <c r="Q24" i="67"/>
  <c r="R9" i="67"/>
  <c r="L9" i="67"/>
  <c r="Q9" i="67"/>
  <c r="R7" i="67"/>
  <c r="Q7" i="67"/>
  <c r="L14" i="67"/>
  <c r="Q14" i="67"/>
  <c r="R14" i="67"/>
  <c r="R12" i="67"/>
  <c r="Q8" i="67"/>
  <c r="R34" i="67"/>
  <c r="Q34" i="67"/>
  <c r="Q16" i="67"/>
  <c r="R16" i="67"/>
  <c r="L16" i="67"/>
  <c r="G65" i="67"/>
  <c r="H69" i="67"/>
  <c r="F65" i="67"/>
  <c r="I16" i="67"/>
  <c r="M69" i="67" l="1"/>
  <c r="R197" i="60" l="1"/>
  <c r="S197" i="60"/>
  <c r="R193" i="60"/>
  <c r="S193" i="60"/>
  <c r="R187" i="60"/>
  <c r="R170" i="60"/>
  <c r="R69" i="60"/>
  <c r="R130" i="60" l="1"/>
  <c r="N197" i="60"/>
  <c r="N193" i="60"/>
  <c r="N187" i="60"/>
  <c r="N170" i="60"/>
  <c r="M151" i="60"/>
  <c r="N130" i="60"/>
  <c r="N21" i="60"/>
  <c r="R21" i="60" s="1"/>
  <c r="N13" i="60"/>
  <c r="R13" i="60" s="1"/>
  <c r="N12" i="60"/>
  <c r="R12" i="60" s="1"/>
  <c r="K39" i="67" l="1"/>
  <c r="H20" i="72"/>
  <c r="K32" i="67"/>
  <c r="H17" i="72"/>
  <c r="R14" i="60"/>
  <c r="N14" i="60"/>
  <c r="T196" i="60"/>
  <c r="I197" i="60"/>
  <c r="J197" i="60"/>
  <c r="K197" i="60"/>
  <c r="L197" i="60"/>
  <c r="M197" i="60"/>
  <c r="O197" i="60"/>
  <c r="P197" i="60"/>
  <c r="Q197" i="60"/>
  <c r="H197" i="60"/>
  <c r="V129" i="60"/>
  <c r="T188" i="60" l="1"/>
  <c r="T189" i="60"/>
  <c r="T190" i="60"/>
  <c r="T191" i="60"/>
  <c r="T192" i="60"/>
  <c r="I193" i="60"/>
  <c r="J193" i="60"/>
  <c r="K193" i="60"/>
  <c r="L193" i="60"/>
  <c r="M193" i="60"/>
  <c r="O193" i="60"/>
  <c r="P193" i="60"/>
  <c r="Q193" i="60"/>
  <c r="H193" i="60"/>
  <c r="T7" i="60"/>
  <c r="T8" i="60"/>
  <c r="T9" i="60"/>
  <c r="T10" i="60"/>
  <c r="T12" i="60"/>
  <c r="T13" i="60"/>
  <c r="T15" i="60"/>
  <c r="T16" i="60"/>
  <c r="T17" i="60"/>
  <c r="T19" i="60"/>
  <c r="T21" i="60"/>
  <c r="T22" i="60"/>
  <c r="T47" i="60"/>
  <c r="T71" i="60"/>
  <c r="T111" i="60"/>
  <c r="T112" i="60"/>
  <c r="T169" i="60"/>
  <c r="I187" i="60"/>
  <c r="J187" i="60"/>
  <c r="K187" i="60"/>
  <c r="L187" i="60"/>
  <c r="M187" i="60"/>
  <c r="O187" i="60"/>
  <c r="P187" i="60"/>
  <c r="Q187" i="60"/>
  <c r="H187" i="60"/>
  <c r="T103" i="60" l="1"/>
  <c r="J47" i="60" l="1"/>
  <c r="I4" i="66"/>
  <c r="K170" i="60"/>
  <c r="I170" i="60"/>
  <c r="M170" i="60"/>
  <c r="O170" i="60"/>
  <c r="H170" i="60"/>
  <c r="J39" i="67" l="1"/>
  <c r="Q39" i="67" s="1"/>
  <c r="G20" i="72"/>
  <c r="I20" i="72" s="1"/>
  <c r="J170" i="60"/>
  <c r="P170" i="60"/>
  <c r="L39" i="67" l="1"/>
  <c r="R39" i="67"/>
  <c r="S170" i="60"/>
  <c r="L170" i="60"/>
  <c r="N151" i="60" l="1"/>
  <c r="R151" i="60"/>
  <c r="H139" i="60"/>
  <c r="K36" i="67" l="1"/>
  <c r="R36" i="67" s="1"/>
  <c r="H19" i="72"/>
  <c r="L36" i="67"/>
  <c r="G18" i="72"/>
  <c r="H110" i="60" l="1"/>
  <c r="J30" i="67" l="1"/>
  <c r="Q30" i="67" s="1"/>
  <c r="G16" i="72"/>
  <c r="N139" i="60" l="1"/>
  <c r="R139" i="60"/>
  <c r="I151" i="60"/>
  <c r="J151" i="60"/>
  <c r="K151" i="60"/>
  <c r="L151" i="60"/>
  <c r="O151" i="60"/>
  <c r="P151" i="60"/>
  <c r="Q151" i="60"/>
  <c r="S151" i="60"/>
  <c r="H151" i="60"/>
  <c r="I139" i="60"/>
  <c r="J139" i="60"/>
  <c r="K139" i="60"/>
  <c r="L139" i="60"/>
  <c r="M139" i="60"/>
  <c r="O139" i="60"/>
  <c r="P139" i="60"/>
  <c r="Q139" i="60"/>
  <c r="S139" i="60"/>
  <c r="C17" i="61"/>
  <c r="C19" i="61"/>
  <c r="M70" i="60"/>
  <c r="M103" i="60"/>
  <c r="H103" i="60"/>
  <c r="M130" i="60"/>
  <c r="H130" i="60"/>
  <c r="M113" i="60"/>
  <c r="H113" i="60"/>
  <c r="J31" i="67" s="1"/>
  <c r="J112" i="60"/>
  <c r="K112" i="60" s="1"/>
  <c r="I112" i="60"/>
  <c r="C11" i="61"/>
  <c r="M89" i="60"/>
  <c r="M110" i="60"/>
  <c r="H46" i="60"/>
  <c r="H70" i="60"/>
  <c r="H89" i="60"/>
  <c r="H125" i="60"/>
  <c r="M125" i="60"/>
  <c r="C4" i="60"/>
  <c r="J111" i="60"/>
  <c r="I111" i="60"/>
  <c r="J10" i="67"/>
  <c r="I47" i="60"/>
  <c r="N47" i="60" s="1"/>
  <c r="R47" i="60" s="1"/>
  <c r="I71" i="60"/>
  <c r="J71" i="60"/>
  <c r="K71" i="60" s="1"/>
  <c r="O21" i="60"/>
  <c r="O13" i="60"/>
  <c r="O12" i="60"/>
  <c r="S21" i="60"/>
  <c r="M46" i="60"/>
  <c r="M14" i="60"/>
  <c r="M11" i="60"/>
  <c r="I15" i="60"/>
  <c r="I14" i="60"/>
  <c r="J14" i="60"/>
  <c r="H14" i="60"/>
  <c r="J46" i="60"/>
  <c r="P21" i="60"/>
  <c r="Q21" i="60" s="1"/>
  <c r="H20" i="60"/>
  <c r="J11" i="67" s="1"/>
  <c r="H18" i="60"/>
  <c r="H11" i="60"/>
  <c r="J10" i="60"/>
  <c r="K10" i="60" s="1"/>
  <c r="I10" i="60"/>
  <c r="M18" i="60"/>
  <c r="J17" i="60"/>
  <c r="K17" i="60" s="1"/>
  <c r="I17" i="60"/>
  <c r="J16" i="60"/>
  <c r="K16" i="60" s="1"/>
  <c r="I16" i="60"/>
  <c r="L13" i="60"/>
  <c r="P13" i="60" s="1"/>
  <c r="K13" i="60"/>
  <c r="K47" i="60"/>
  <c r="K22" i="60"/>
  <c r="I22" i="60"/>
  <c r="K21" i="60"/>
  <c r="M20" i="60"/>
  <c r="J19" i="60"/>
  <c r="J20" i="60" s="1"/>
  <c r="I19" i="60"/>
  <c r="J15" i="60"/>
  <c r="K15" i="60" s="1"/>
  <c r="L12" i="60"/>
  <c r="K12" i="60"/>
  <c r="J9" i="60"/>
  <c r="K9" i="60" s="1"/>
  <c r="I9" i="60"/>
  <c r="J8" i="60"/>
  <c r="K8" i="60" s="1"/>
  <c r="I8" i="60"/>
  <c r="J7" i="60"/>
  <c r="I7" i="60"/>
  <c r="M233" i="60" l="1" a="1"/>
  <c r="M233" i="60" s="1"/>
  <c r="H233" i="60" a="1"/>
  <c r="H233" i="60" s="1"/>
  <c r="I15" i="74"/>
  <c r="K7" i="60"/>
  <c r="J32" i="67"/>
  <c r="Q32" i="67" s="1"/>
  <c r="G17" i="72"/>
  <c r="I17" i="72" s="1"/>
  <c r="G15" i="72"/>
  <c r="G19" i="72"/>
  <c r="I19" i="72" s="1"/>
  <c r="I17" i="74"/>
  <c r="J19" i="67"/>
  <c r="I16" i="74"/>
  <c r="H18" i="72"/>
  <c r="I18" i="72" s="1"/>
  <c r="Q31" i="67"/>
  <c r="Q11" i="67"/>
  <c r="O130" i="60"/>
  <c r="N111" i="60"/>
  <c r="R111" i="60" s="1"/>
  <c r="I20" i="60"/>
  <c r="N19" i="60"/>
  <c r="O15" i="60"/>
  <c r="N15" i="60"/>
  <c r="R15" i="60" s="1"/>
  <c r="O71" i="60"/>
  <c r="N71" i="60"/>
  <c r="R71" i="60" s="1"/>
  <c r="O8" i="60"/>
  <c r="N8" i="60"/>
  <c r="R8" i="60" s="1"/>
  <c r="O10" i="60"/>
  <c r="N10" i="60"/>
  <c r="O112" i="60"/>
  <c r="N112" i="60"/>
  <c r="R112" i="60" s="1"/>
  <c r="O9" i="60"/>
  <c r="N9" i="60"/>
  <c r="R9" i="60" s="1"/>
  <c r="O22" i="60"/>
  <c r="N22" i="60"/>
  <c r="R22" i="60" s="1"/>
  <c r="O16" i="60"/>
  <c r="N16" i="60"/>
  <c r="R16" i="60" s="1"/>
  <c r="O7" i="60"/>
  <c r="N7" i="60"/>
  <c r="O17" i="60"/>
  <c r="N17" i="60"/>
  <c r="R17" i="60" s="1"/>
  <c r="O14" i="60"/>
  <c r="J113" i="60"/>
  <c r="I110" i="60"/>
  <c r="L112" i="60"/>
  <c r="P112" i="60" s="1"/>
  <c r="Q112" i="60" s="1"/>
  <c r="S112" i="60" s="1"/>
  <c r="I103" i="60"/>
  <c r="K14" i="60"/>
  <c r="L14" i="60"/>
  <c r="L16" i="60"/>
  <c r="P16" i="60" s="1"/>
  <c r="Q16" i="60" s="1"/>
  <c r="S16" i="60" s="1"/>
  <c r="J18" i="60"/>
  <c r="K46" i="60"/>
  <c r="L15" i="60"/>
  <c r="P15" i="60" s="1"/>
  <c r="Q15" i="60" s="1"/>
  <c r="S15" i="60" s="1"/>
  <c r="L22" i="60"/>
  <c r="P22" i="60" s="1"/>
  <c r="Q22" i="60" s="1"/>
  <c r="S22" i="60" s="1"/>
  <c r="L8" i="60"/>
  <c r="P8" i="60" s="1"/>
  <c r="Q8" i="60" s="1"/>
  <c r="S8" i="60" s="1"/>
  <c r="J103" i="60"/>
  <c r="L7" i="60"/>
  <c r="I113" i="60"/>
  <c r="K110" i="60"/>
  <c r="L17" i="60"/>
  <c r="P17" i="60" s="1"/>
  <c r="Q17" i="60" s="1"/>
  <c r="S17" i="60" s="1"/>
  <c r="J110" i="60"/>
  <c r="I18" i="60"/>
  <c r="K111" i="60"/>
  <c r="K113" i="60" s="1"/>
  <c r="G15" i="61" s="1"/>
  <c r="J15" i="61" s="1"/>
  <c r="K18" i="60"/>
  <c r="J70" i="60"/>
  <c r="O19" i="60"/>
  <c r="O20" i="60" s="1"/>
  <c r="K89" i="60"/>
  <c r="J130" i="60"/>
  <c r="I89" i="60"/>
  <c r="K11" i="60"/>
  <c r="K130" i="60"/>
  <c r="P12" i="60"/>
  <c r="Q12" i="60" s="1"/>
  <c r="S12" i="60" s="1"/>
  <c r="I130" i="60"/>
  <c r="L47" i="60"/>
  <c r="P47" i="60" s="1"/>
  <c r="K125" i="60"/>
  <c r="Q13" i="60"/>
  <c r="I46" i="60"/>
  <c r="I125" i="60"/>
  <c r="K103" i="60"/>
  <c r="L19" i="60"/>
  <c r="J11" i="60"/>
  <c r="J125" i="60"/>
  <c r="O47" i="60"/>
  <c r="L111" i="60"/>
  <c r="I70" i="60"/>
  <c r="L9" i="60"/>
  <c r="P9" i="60" s="1"/>
  <c r="Q9" i="60" s="1"/>
  <c r="S9" i="60" s="1"/>
  <c r="I11" i="60"/>
  <c r="K19" i="60"/>
  <c r="K20" i="60" s="1"/>
  <c r="L10" i="60"/>
  <c r="P10" i="60" s="1"/>
  <c r="Q10" i="60" s="1"/>
  <c r="S10" i="60" s="1"/>
  <c r="L71" i="60"/>
  <c r="J89" i="60"/>
  <c r="O111" i="60"/>
  <c r="V127" i="60" l="1"/>
  <c r="I233" i="60" a="1"/>
  <c r="I233" i="60" s="1"/>
  <c r="J233" i="60" a="1"/>
  <c r="J233" i="60" s="1"/>
  <c r="R46" i="60"/>
  <c r="F47" i="66"/>
  <c r="J65" i="67"/>
  <c r="Q19" i="67"/>
  <c r="R32" i="67"/>
  <c r="L32" i="67"/>
  <c r="P7" i="60"/>
  <c r="Q7" i="60" s="1"/>
  <c r="Q11" i="60" s="1"/>
  <c r="R70" i="60"/>
  <c r="H17" i="61"/>
  <c r="R7" i="60"/>
  <c r="K8" i="67"/>
  <c r="R10" i="60"/>
  <c r="K23" i="67"/>
  <c r="R103" i="60"/>
  <c r="R125" i="60"/>
  <c r="O103" i="60"/>
  <c r="R89" i="60"/>
  <c r="N20" i="60"/>
  <c r="K11" i="67" s="1"/>
  <c r="R19" i="60"/>
  <c r="R20" i="60" s="1"/>
  <c r="N110" i="60"/>
  <c r="R110" i="60"/>
  <c r="O113" i="60"/>
  <c r="H15" i="61" s="1"/>
  <c r="I15" i="61" s="1"/>
  <c r="N103" i="60"/>
  <c r="O125" i="60"/>
  <c r="H16" i="61" s="1"/>
  <c r="O11" i="60"/>
  <c r="N70" i="60"/>
  <c r="O89" i="60"/>
  <c r="O18" i="60"/>
  <c r="N113" i="60"/>
  <c r="N11" i="60"/>
  <c r="N89" i="60"/>
  <c r="N18" i="60"/>
  <c r="R18" i="60" s="1"/>
  <c r="O110" i="60"/>
  <c r="H14" i="61" s="1"/>
  <c r="N125" i="60"/>
  <c r="N46" i="60"/>
  <c r="P70" i="60"/>
  <c r="G10" i="61"/>
  <c r="J10" i="61" s="1"/>
  <c r="G13" i="61"/>
  <c r="J13" i="61" s="1"/>
  <c r="G12" i="61"/>
  <c r="J12" i="61" s="1"/>
  <c r="G16" i="61"/>
  <c r="J16" i="61" s="1"/>
  <c r="G17" i="61"/>
  <c r="J17" i="61" s="1"/>
  <c r="G14" i="61"/>
  <c r="J14" i="61" s="1"/>
  <c r="O70" i="60"/>
  <c r="K70" i="60"/>
  <c r="K233" i="60" s="1" a="1"/>
  <c r="K233" i="60" s="1"/>
  <c r="P14" i="60"/>
  <c r="L103" i="60"/>
  <c r="P18" i="60"/>
  <c r="Q18" i="60" s="1"/>
  <c r="S18" i="60" s="1"/>
  <c r="L46" i="60"/>
  <c r="O46" i="60"/>
  <c r="L110" i="60"/>
  <c r="L18" i="60"/>
  <c r="L11" i="60"/>
  <c r="L130" i="60"/>
  <c r="L70" i="60"/>
  <c r="L89" i="60"/>
  <c r="P71" i="60"/>
  <c r="Q14" i="60"/>
  <c r="S13" i="60"/>
  <c r="S14" i="60" s="1"/>
  <c r="P111" i="60"/>
  <c r="L113" i="60"/>
  <c r="L125" i="60"/>
  <c r="P19" i="60"/>
  <c r="L20" i="60"/>
  <c r="Q47" i="60"/>
  <c r="O233" i="60" l="1" a="1"/>
  <c r="O233" i="60" s="1"/>
  <c r="L233" i="60" a="1"/>
  <c r="L233" i="60" s="1"/>
  <c r="N233" i="60" a="1"/>
  <c r="N233" i="60" s="1"/>
  <c r="N236" i="60" s="1"/>
  <c r="G47" i="66"/>
  <c r="S46" i="60"/>
  <c r="S7" i="60"/>
  <c r="P11" i="60"/>
  <c r="J15" i="74"/>
  <c r="K15" i="74" s="1"/>
  <c r="K19" i="67"/>
  <c r="R19" i="67" s="1"/>
  <c r="J16" i="74"/>
  <c r="K16" i="74" s="1"/>
  <c r="J17" i="74"/>
  <c r="K17" i="74" s="1"/>
  <c r="K21" i="67"/>
  <c r="L21" i="67" s="1"/>
  <c r="H15" i="72"/>
  <c r="I15" i="72" s="1"/>
  <c r="K30" i="67"/>
  <c r="L30" i="67" s="1"/>
  <c r="H16" i="72"/>
  <c r="I16" i="72" s="1"/>
  <c r="R11" i="60"/>
  <c r="R233" i="60" s="1" a="1"/>
  <c r="R233" i="60" s="1"/>
  <c r="K27" i="67"/>
  <c r="L27" i="67" s="1"/>
  <c r="R11" i="67"/>
  <c r="L11" i="67"/>
  <c r="R113" i="60"/>
  <c r="K31" i="67"/>
  <c r="L23" i="67"/>
  <c r="R23" i="67"/>
  <c r="L8" i="67"/>
  <c r="R8" i="67"/>
  <c r="H13" i="61"/>
  <c r="I13" i="61" s="1"/>
  <c r="H12" i="61"/>
  <c r="I12" i="61" s="1"/>
  <c r="I17" i="61"/>
  <c r="I16" i="61"/>
  <c r="I14" i="61"/>
  <c r="H11" i="61"/>
  <c r="G11" i="61"/>
  <c r="H10" i="61"/>
  <c r="I10" i="61" s="1"/>
  <c r="Q110" i="60"/>
  <c r="S110" i="60"/>
  <c r="P103" i="60"/>
  <c r="P110" i="60"/>
  <c r="P130" i="60"/>
  <c r="P125" i="60"/>
  <c r="S47" i="60"/>
  <c r="S70" i="60" s="1"/>
  <c r="Q70" i="60"/>
  <c r="Q46" i="60"/>
  <c r="P46" i="60"/>
  <c r="P20" i="60"/>
  <c r="Q19" i="60"/>
  <c r="Q111" i="60"/>
  <c r="P113" i="60"/>
  <c r="P89" i="60"/>
  <c r="Q71" i="60"/>
  <c r="Q89" i="60" s="1"/>
  <c r="P233" i="60" l="1" a="1"/>
  <c r="P233" i="60" s="1"/>
  <c r="I47" i="66"/>
  <c r="H47" i="66"/>
  <c r="S11" i="60"/>
  <c r="R30" i="67"/>
  <c r="R21" i="67"/>
  <c r="L19" i="67"/>
  <c r="R27" i="67"/>
  <c r="K65" i="67"/>
  <c r="R31" i="67"/>
  <c r="L31" i="67"/>
  <c r="H19" i="61"/>
  <c r="I11" i="61"/>
  <c r="I19" i="61" s="1"/>
  <c r="G19" i="61"/>
  <c r="J11" i="61"/>
  <c r="J19" i="61" s="1"/>
  <c r="I24" i="61" s="1"/>
  <c r="Q103" i="60"/>
  <c r="S103" i="60"/>
  <c r="S130" i="60"/>
  <c r="Q130" i="60"/>
  <c r="Q20" i="60"/>
  <c r="S19" i="60"/>
  <c r="S20" i="60" s="1"/>
  <c r="S71" i="60"/>
  <c r="S89" i="60" s="1"/>
  <c r="S111" i="60"/>
  <c r="S113" i="60" s="1"/>
  <c r="Q113" i="60"/>
  <c r="Q125" i="60"/>
  <c r="S125" i="60"/>
  <c r="S233" i="60" l="1" a="1"/>
  <c r="S233" i="60" s="1"/>
  <c r="Q233" i="60" a="1"/>
  <c r="Q233" i="60" s="1"/>
  <c r="L65" i="67"/>
  <c r="N69" i="67" s="1"/>
  <c r="I22" i="61"/>
  <c r="K22" i="61" s="1"/>
  <c r="N75" i="67" l="1"/>
  <c r="K75" i="67" l="1"/>
  <c r="K90" i="67" s="1"/>
  <c r="H75" i="67" l="1"/>
  <c r="E76" i="67" l="1"/>
  <c r="L75" i="67" l="1"/>
  <c r="L90" i="67" s="1"/>
  <c r="E79" i="67" l="1"/>
  <c r="E78" i="67"/>
  <c r="E75" i="67"/>
  <c r="E87" i="67" l="1"/>
  <c r="J75" i="67" l="1"/>
  <c r="J90" i="67" s="1"/>
  <c r="E77" i="67" l="1"/>
  <c r="M75" i="67" l="1"/>
  <c r="M90" i="67" l="1"/>
  <c r="O75" i="67"/>
  <c r="O90" i="67" l="1"/>
  <c r="P75" i="6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<sst xmlns="http://schemas.openxmlformats.org/spreadsheetml/2006/main" count="847" uniqueCount="460">
  <si>
    <t>TOTAL GENERAL</t>
  </si>
  <si>
    <t>MOIS</t>
  </si>
  <si>
    <t>007-23</t>
  </si>
  <si>
    <t>008-23</t>
  </si>
  <si>
    <t>010-23</t>
  </si>
  <si>
    <t>011-23</t>
  </si>
  <si>
    <t>013-23</t>
  </si>
  <si>
    <t>015-23</t>
  </si>
  <si>
    <t>022-23</t>
  </si>
  <si>
    <t>023-23</t>
  </si>
  <si>
    <t>NUMERO AFFAIRE</t>
  </si>
  <si>
    <t>009-23</t>
  </si>
  <si>
    <t>019-23</t>
  </si>
  <si>
    <t>020-23</t>
  </si>
  <si>
    <t>021-23</t>
  </si>
  <si>
    <t>AFFAIREAF012
DREAM BEACH</t>
  </si>
  <si>
    <t xml:space="preserve">N° FACTURE </t>
  </si>
  <si>
    <t>Sous total ADEOTI</t>
  </si>
  <si>
    <t>Sous total COVE BEACH</t>
  </si>
  <si>
    <t>MONTANT BRUT HTVA</t>
  </si>
  <si>
    <t>TVA</t>
  </si>
  <si>
    <t>AIB</t>
  </si>
  <si>
    <t xml:space="preserve">MONTANT NET TTC A PAYER </t>
  </si>
  <si>
    <t>DATE FACTURATION</t>
  </si>
  <si>
    <t>DATE DEPÔT FACTURE</t>
  </si>
  <si>
    <t>024-23</t>
  </si>
  <si>
    <t>025-23</t>
  </si>
  <si>
    <t>026-23</t>
  </si>
  <si>
    <t>027-23</t>
  </si>
  <si>
    <t>001-24</t>
  </si>
  <si>
    <t>002-24</t>
  </si>
  <si>
    <t>003-24</t>
  </si>
  <si>
    <t>004-24</t>
  </si>
  <si>
    <t>005-24</t>
  </si>
  <si>
    <t>AFFAIREAF013
ADEOTI</t>
  </si>
  <si>
    <t>AFFAIREAF014
BOTINZA</t>
  </si>
  <si>
    <t>006-24</t>
  </si>
  <si>
    <t xml:space="preserve"> Avance de démarrage</t>
  </si>
  <si>
    <t>009-24</t>
  </si>
  <si>
    <t>007-24</t>
  </si>
  <si>
    <t>Sous total BOTINZA</t>
  </si>
  <si>
    <t>Avance de démarrage</t>
  </si>
  <si>
    <t>mars et avril 2024</t>
  </si>
  <si>
    <t>DELAI DE PAIEMENT</t>
  </si>
  <si>
    <t xml:space="preserve">MONTANT NET HT </t>
  </si>
  <si>
    <t>Nov-Déc 2023</t>
  </si>
  <si>
    <t>011-24</t>
  </si>
  <si>
    <t>012-24</t>
  </si>
  <si>
    <t>013-24</t>
  </si>
  <si>
    <t>014-24</t>
  </si>
  <si>
    <t>015-24</t>
  </si>
  <si>
    <t>AFFAIREAF016
MATIERE BENIN</t>
  </si>
  <si>
    <t>018-24</t>
  </si>
  <si>
    <t>010-22</t>
  </si>
  <si>
    <t>012-22</t>
  </si>
  <si>
    <t>008-22</t>
  </si>
  <si>
    <t>014-22</t>
  </si>
  <si>
    <t>013-22</t>
  </si>
  <si>
    <t>015-22</t>
  </si>
  <si>
    <t>Sous total EGBTP</t>
  </si>
  <si>
    <t>Sous total OFMAS</t>
  </si>
  <si>
    <t>016-22</t>
  </si>
  <si>
    <t>AFFAIREAF001
SImAU</t>
  </si>
  <si>
    <t>AFFAIREAF002
OFMAS</t>
  </si>
  <si>
    <t>AFFAIREAF004
CFAO</t>
  </si>
  <si>
    <t>AFFAIREAF005
SCB-LAFARGE</t>
  </si>
  <si>
    <t>017-22</t>
  </si>
  <si>
    <t>Sous total CFAO</t>
  </si>
  <si>
    <t>001-23</t>
  </si>
  <si>
    <t>002/23</t>
  </si>
  <si>
    <t>004-23</t>
  </si>
  <si>
    <t>005-23</t>
  </si>
  <si>
    <t>006-23</t>
  </si>
  <si>
    <t>DATE DE REGLEMENT</t>
  </si>
  <si>
    <t>Sous total SCB-LAFARGE</t>
  </si>
  <si>
    <t>Sous total MATIERE</t>
  </si>
  <si>
    <t>010-24</t>
  </si>
  <si>
    <t>AFFAIREAF003
EGBTP 2</t>
  </si>
  <si>
    <t>AFFAIREAF003
EGBTP 1</t>
  </si>
  <si>
    <t>RESTANT DÛ TTC / FACTURE</t>
  </si>
  <si>
    <t xml:space="preserve">MONTANT TTC 
ENCAISSE </t>
  </si>
  <si>
    <t>MONTANT NET HT ENCAISSE</t>
  </si>
  <si>
    <t>RESTANT DÛ NET HT</t>
  </si>
  <si>
    <t>RESTANT DÛ REEL NET TTC</t>
  </si>
  <si>
    <t>021-24</t>
  </si>
  <si>
    <t>025-24</t>
  </si>
  <si>
    <t>023-24</t>
  </si>
  <si>
    <t>019-24</t>
  </si>
  <si>
    <t>022-24</t>
  </si>
  <si>
    <t>024-24</t>
  </si>
  <si>
    <t>AFFAIREAF017
AGIRE</t>
  </si>
  <si>
    <t>Sous total AGIRE</t>
  </si>
  <si>
    <t>026-24</t>
  </si>
  <si>
    <t>GERER LE SECRETARIAT GENERAL</t>
  </si>
  <si>
    <t xml:space="preserve">Mise à jour du : </t>
  </si>
  <si>
    <t xml:space="preserve">ETAT GLOBAL DES FACTURATIONS ET PAIEMENTS  </t>
  </si>
  <si>
    <t>GSG-F07-V0
22/07/2024</t>
  </si>
  <si>
    <t>028/24</t>
  </si>
  <si>
    <t>027-24</t>
  </si>
  <si>
    <t>029-24</t>
  </si>
  <si>
    <t>030-24</t>
  </si>
  <si>
    <t>SETEC SOUS TRAITANCE</t>
  </si>
  <si>
    <t>032/24</t>
  </si>
  <si>
    <t>décembre 23-juillet 24</t>
  </si>
  <si>
    <t>031/24</t>
  </si>
  <si>
    <t>Sous total SETEC SOUS TRAITANCE</t>
  </si>
  <si>
    <t>035/24</t>
  </si>
  <si>
    <t>033/24</t>
  </si>
  <si>
    <t>034/24</t>
  </si>
  <si>
    <t>sept et octobre 2024</t>
  </si>
  <si>
    <t>036-24</t>
  </si>
  <si>
    <t>037/24</t>
  </si>
  <si>
    <t>038/24</t>
  </si>
  <si>
    <t>Sous total CONOCO</t>
  </si>
  <si>
    <t>AFFAIREAF018
CONOCO</t>
  </si>
  <si>
    <t>Montant déjà facturé</t>
  </si>
  <si>
    <t>Montant reste à facturer</t>
  </si>
  <si>
    <t>Montant du contrat</t>
  </si>
  <si>
    <t>AFFAIREAF013 ADEOTI</t>
  </si>
  <si>
    <t>AFFAIREAF014 BOTINZA</t>
  </si>
  <si>
    <t>AFFAIREAF015 CITES ADM LOT 1</t>
  </si>
  <si>
    <t>AFFAIREAF015 CITES ADM LOT 2</t>
  </si>
  <si>
    <t>AFFAIREAF016 MATIERE BENIN</t>
  </si>
  <si>
    <t>AFFAIREAF017 AGIRE</t>
  </si>
  <si>
    <t>039/24</t>
  </si>
  <si>
    <t>AFFAIREAF015
CITES ADM LOT 1</t>
  </si>
  <si>
    <t>040/24</t>
  </si>
  <si>
    <t>Date de fin de projet</t>
  </si>
  <si>
    <t>Début contrat</t>
  </si>
  <si>
    <t>durée en mois</t>
  </si>
  <si>
    <t>041/24</t>
  </si>
  <si>
    <t>Acompte de 70%</t>
  </si>
  <si>
    <t>042/24</t>
  </si>
  <si>
    <t>AFFAIREAF015
CITES ADM LOT 2</t>
  </si>
  <si>
    <t>Sous total CITES ADM lot 1</t>
  </si>
  <si>
    <t>Sous total CITES ADM lot 2</t>
  </si>
  <si>
    <t>043/24</t>
  </si>
  <si>
    <t>044/24</t>
  </si>
  <si>
    <t>mars à septembre 2024</t>
  </si>
  <si>
    <t>AFFAIREAF018 CONOCO+(protocole d'accord)</t>
  </si>
  <si>
    <t>Montant déjà encaissé</t>
  </si>
  <si>
    <t>Impayé à date</t>
  </si>
  <si>
    <t>PROJECTION RESTE A FACTURER PAR PROJET</t>
  </si>
  <si>
    <t>AFFAIREAF012 DREAM BEACH</t>
  </si>
  <si>
    <t>AFFAIREAF003 EGBTP 2</t>
  </si>
  <si>
    <t>AFFAIREAF019 Mission DET prison civile de OUEDO</t>
  </si>
  <si>
    <t>Reste à facturer</t>
  </si>
  <si>
    <t>Impayé</t>
  </si>
  <si>
    <t>Recouvrement</t>
  </si>
  <si>
    <t>047/24</t>
  </si>
  <si>
    <t>046/24</t>
  </si>
  <si>
    <t>AFFAIREAF020
PRISON CIVILE OUEDO</t>
  </si>
  <si>
    <t>AFFAIREAF019
NATIVE HOTEL</t>
  </si>
  <si>
    <t>Sous total NATIVE HOTEL</t>
  </si>
  <si>
    <t>AFFAIREAF015
CITES ADM LOT 3</t>
  </si>
  <si>
    <t>AFFAIREAF015
CITES ADM LOT 4</t>
  </si>
  <si>
    <t>AFFAIREAF015
CITES ADM LOT 5</t>
  </si>
  <si>
    <t>AFFAIREAF015
CITES ADM LOT 6</t>
  </si>
  <si>
    <t>AFFAIREAF015
CITES ADM LOT 7</t>
  </si>
  <si>
    <t>Total général</t>
  </si>
  <si>
    <t>(vide)</t>
  </si>
  <si>
    <t>Total AFFAIREAF001
SImAU</t>
  </si>
  <si>
    <t>Total AFFAIREAF002
OFMAS</t>
  </si>
  <si>
    <t>Total AFFAIREAF003
EGBTP 1</t>
  </si>
  <si>
    <t>Total AFFAIREAF003
EGBTP 2</t>
  </si>
  <si>
    <t>Total AFFAIREAF004
CFAO</t>
  </si>
  <si>
    <t>Total AFFAIREAF005
SCB-LAFARGE</t>
  </si>
  <si>
    <t>Total AFFAIREAF012
DREAM BEACH</t>
  </si>
  <si>
    <t>Total AFFAIREAF013
ADEOTI</t>
  </si>
  <si>
    <t>Total AFFAIREAF014
BOTINZA</t>
  </si>
  <si>
    <t>Total AFFAIREAF015
CITES ADM LOT 1</t>
  </si>
  <si>
    <t>Total AFFAIREAF015
CITES ADM LOT 2</t>
  </si>
  <si>
    <t>Total AFFAIREAF015
CITES ADM LOT 3</t>
  </si>
  <si>
    <t>Total AFFAIREAF015
CITES ADM LOT 4</t>
  </si>
  <si>
    <t>Total AFFAIREAF015
CITES ADM LOT 5</t>
  </si>
  <si>
    <t>Total AFFAIREAF015
CITES ADM LOT 6</t>
  </si>
  <si>
    <t>Total AFFAIREAF015
CITES ADM LOT 7</t>
  </si>
  <si>
    <t>Total AFFAIREAF016
MATIERE BENIN</t>
  </si>
  <si>
    <t>Total AFFAIREAF017
AGIRE</t>
  </si>
  <si>
    <t>Total AFFAIREAF018
CONOCO</t>
  </si>
  <si>
    <t>Total AFFAIREAF019
NATIVE HOTEL</t>
  </si>
  <si>
    <t>Total AFFAIREAF020
PRISON CIVILE OUEDO</t>
  </si>
  <si>
    <t>Total SETEC SOUS TRAITANCE</t>
  </si>
  <si>
    <t>Somme de RESTANT DÛ NET HT</t>
  </si>
  <si>
    <t>050/24</t>
  </si>
  <si>
    <t>048/24</t>
  </si>
  <si>
    <t>049/24</t>
  </si>
  <si>
    <t xml:space="preserve">Somme de MONTANT NET HT </t>
  </si>
  <si>
    <t>052/24</t>
  </si>
  <si>
    <t>053/24</t>
  </si>
  <si>
    <t>051/24</t>
  </si>
  <si>
    <t>054/24</t>
  </si>
  <si>
    <t>AFFAIREAF020
JULIUS BERGER NIGERIA PLC</t>
  </si>
  <si>
    <t>055/24</t>
  </si>
  <si>
    <t>061/24</t>
  </si>
  <si>
    <t>060/24</t>
  </si>
  <si>
    <t>059/24</t>
  </si>
  <si>
    <t>058/24</t>
  </si>
  <si>
    <t>056/24</t>
  </si>
  <si>
    <t>057/24</t>
  </si>
  <si>
    <t>Sous total JULIUS BERGER</t>
  </si>
  <si>
    <t>PROJETS</t>
  </si>
  <si>
    <t>Montant facturé</t>
  </si>
  <si>
    <t>Montant encaissé</t>
  </si>
  <si>
    <t>Reste à encaisser</t>
  </si>
  <si>
    <t>ADEOTI</t>
  </si>
  <si>
    <t>BOTINZA</t>
  </si>
  <si>
    <t>CITES ADM LOT 1</t>
  </si>
  <si>
    <t>CITES ADM LOT 2</t>
  </si>
  <si>
    <t>MATIERE</t>
  </si>
  <si>
    <t>SOUS TRAITANCE SETEC</t>
  </si>
  <si>
    <t>CONOCO</t>
  </si>
  <si>
    <t>NATIVE HOTEL</t>
  </si>
  <si>
    <t>JULIUS BERGER</t>
  </si>
  <si>
    <t>DREAM BEACH</t>
  </si>
  <si>
    <t>TOTAL</t>
  </si>
  <si>
    <t xml:space="preserve">Mis à jour </t>
  </si>
  <si>
    <t>002/25</t>
  </si>
  <si>
    <t>003/25</t>
  </si>
  <si>
    <t>004/25</t>
  </si>
  <si>
    <t>005/25</t>
  </si>
  <si>
    <t>006/25</t>
  </si>
  <si>
    <t>007/25</t>
  </si>
  <si>
    <t>AFFAIREAF021
PRISON CIVILE DE OUEDO</t>
  </si>
  <si>
    <t>Sous total PRISON CIVILE DE OUEDO</t>
  </si>
  <si>
    <t xml:space="preserve">AFFAIREAF022
ADEOTI/ Mission d’assistance pour le passage en comptabilité analytique d’exploitation et coaching du DAF de l’entreprise </t>
  </si>
  <si>
    <t>Sous total ADEOTI(Passage en cpta anal)</t>
  </si>
  <si>
    <t>MONTANT BRUT HT ENCAISSE</t>
  </si>
  <si>
    <t>RESTANT DÛ BRUT HT</t>
  </si>
  <si>
    <t>AFFAIREAF023
CDCB</t>
  </si>
  <si>
    <t>AFFAIREAF024
HOTEL DE VILLE DE PORTO</t>
  </si>
  <si>
    <t>AFFAIREAF026
9 PONTS HYDRAULIQUES</t>
  </si>
  <si>
    <t>AFFAIREAF027
DET 22 STRADES COMMUNAUX</t>
  </si>
  <si>
    <t>Sous total CDCB</t>
  </si>
  <si>
    <t>Sous total HOTEL DE VILLE DE PORTO</t>
  </si>
  <si>
    <t>Sous total CONTRÔLE DES TRAVAUX CARREFOUR LE BELIER</t>
  </si>
  <si>
    <t>Sous total 9 PONTS HYDRAULIQUES</t>
  </si>
  <si>
    <t>Sous total DET 22 STRADES COMMUNAUX</t>
  </si>
  <si>
    <t xml:space="preserve">ADEOTI/ Mission d’assistance pour le passage en comptabilité analytique d’exploitation et coaching du DAF de l’entreprise </t>
  </si>
  <si>
    <t>CDCB</t>
  </si>
  <si>
    <t>HOTEL DE VILLE DE PORTO</t>
  </si>
  <si>
    <t>9 PONTS HYDRAULIQUES</t>
  </si>
  <si>
    <r>
      <t xml:space="preserve">TABLEAU DE BORD FINANCIER AU </t>
    </r>
    <r>
      <rPr>
        <b/>
        <sz val="16"/>
        <color rgb="FFFF0000"/>
        <rFont val="Arial Narrow"/>
        <family val="2"/>
      </rPr>
      <t>______________________________</t>
    </r>
  </si>
  <si>
    <t>COMPTE DE GESTION</t>
  </si>
  <si>
    <t>N°</t>
  </si>
  <si>
    <t>Année</t>
  </si>
  <si>
    <t>Désignation projet</t>
  </si>
  <si>
    <t>CA par projet</t>
  </si>
  <si>
    <t>Budget par projet</t>
  </si>
  <si>
    <t>Dépenses réelles</t>
  </si>
  <si>
    <t>%Cons. Budget</t>
  </si>
  <si>
    <t>Facturé</t>
  </si>
  <si>
    <t>Encaissé</t>
  </si>
  <si>
    <t>Reste dû sur facturation</t>
  </si>
  <si>
    <t>Date début</t>
  </si>
  <si>
    <t>Date fin</t>
  </si>
  <si>
    <t>Mois</t>
  </si>
  <si>
    <t>%Cons. Délai</t>
  </si>
  <si>
    <t>%Facturation</t>
  </si>
  <si>
    <t>%Encaissement</t>
  </si>
  <si>
    <t>Etat du projet</t>
  </si>
  <si>
    <t>ADEOTI PMO</t>
  </si>
  <si>
    <t>En cours</t>
  </si>
  <si>
    <t>SETEC (SOUS TRAITANCE)</t>
  </si>
  <si>
    <t>CITES ADMINISTRATIVES (1&amp;2)</t>
  </si>
  <si>
    <t>Terminé</t>
  </si>
  <si>
    <t>PRISON CIVILE DE OUEDO</t>
  </si>
  <si>
    <t>CONTRÔLE DES TRAVAUX CARREFOUR BELIER</t>
  </si>
  <si>
    <t>DET 22 STADES COMMUNAUX</t>
  </si>
  <si>
    <t>Fonctionnement du Siège</t>
  </si>
  <si>
    <t>GTP</t>
  </si>
  <si>
    <t>OFMAS</t>
  </si>
  <si>
    <t>SIMAU</t>
  </si>
  <si>
    <t>SCB LAFARGE</t>
  </si>
  <si>
    <t>EGBTP</t>
  </si>
  <si>
    <t>CFAO</t>
  </si>
  <si>
    <t>Suspendu</t>
  </si>
  <si>
    <t>TRESORERIE</t>
  </si>
  <si>
    <t>SOLDE A DATE</t>
  </si>
  <si>
    <t>LOCALISATION</t>
  </si>
  <si>
    <t>MONTANT</t>
  </si>
  <si>
    <t>Rémunérations Personnel/Consultants</t>
  </si>
  <si>
    <t xml:space="preserve">Dettes fournisseurs </t>
  </si>
  <si>
    <t>Impôts du mois</t>
  </si>
  <si>
    <t>Prélèvement auto</t>
  </si>
  <si>
    <t>Frais bancaires</t>
  </si>
  <si>
    <t>Remboursements</t>
  </si>
  <si>
    <t>SOUS-TOTAUX</t>
  </si>
  <si>
    <t>SOLDE DE TRESO</t>
  </si>
  <si>
    <t>Caisse siège</t>
  </si>
  <si>
    <t>Février</t>
  </si>
  <si>
    <t>Caisse Parakou</t>
  </si>
  <si>
    <t>BOA</t>
  </si>
  <si>
    <t>BAB</t>
  </si>
  <si>
    <t>BIIC</t>
  </si>
  <si>
    <t>Janvier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</si>
  <si>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</si>
  <si>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</si>
  <si>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</si>
  <si>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</si>
  <si>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</si>
  <si>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</si>
  <si>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</si>
  <si>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</si>
  <si>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</si>
  <si>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</si>
  <si>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MEMO EXPLICATION DES INDICATEURS MIS EN PLACE</t>
  </si>
  <si>
    <t>Indicateurs de prise de décision ou d'alerte</t>
  </si>
  <si>
    <r>
      <t>-</t>
    </r>
    <r>
      <rPr>
        <b/>
        <sz val="11"/>
        <color theme="1"/>
        <rFont val="Calibri"/>
        <family val="2"/>
        <scheme val="minor"/>
      </rPr>
      <t xml:space="preserve"> %Cons. budge</t>
    </r>
    <r>
      <rPr>
        <sz val="11"/>
        <color theme="1"/>
        <rFont val="Calibri"/>
        <family val="2"/>
        <scheme val="minor"/>
      </rPr>
      <t xml:space="preserve">t qui doit être comparé au </t>
    </r>
    <r>
      <rPr>
        <b/>
        <sz val="11"/>
        <color theme="1"/>
        <rFont val="Calibri"/>
        <family val="2"/>
        <scheme val="minor"/>
      </rPr>
      <t>%cons. délais</t>
    </r>
    <r>
      <rPr>
        <sz val="11"/>
        <color theme="1"/>
        <rFont val="Calibri"/>
        <family val="2"/>
        <scheme val="minor"/>
      </rPr>
      <t>.</t>
    </r>
  </si>
  <si>
    <r>
      <t xml:space="preserve">        Si </t>
    </r>
    <r>
      <rPr>
        <b/>
        <sz val="11"/>
        <color theme="1"/>
        <rFont val="Calibri"/>
        <family val="2"/>
        <scheme val="minor"/>
      </rPr>
      <t>%Cons. du budget</t>
    </r>
    <r>
      <rPr>
        <sz val="11"/>
        <color theme="1"/>
        <rFont val="Calibri"/>
        <family val="2"/>
        <scheme val="minor"/>
      </rPr>
      <t xml:space="preserve"> est supérieur au </t>
    </r>
    <r>
      <rPr>
        <b/>
        <sz val="11"/>
        <color theme="1"/>
        <rFont val="Calibri"/>
        <family val="2"/>
        <scheme val="minor"/>
      </rPr>
      <t>%Cons. Délais</t>
    </r>
    <r>
      <rPr>
        <sz val="11"/>
        <color theme="1"/>
        <rFont val="Calibri"/>
        <family val="2"/>
        <scheme val="minor"/>
      </rPr>
      <t xml:space="preserve"> alors il faut vérifier les postes de dépassement et prendre une décision ou alors revoir le budget dudit marché</t>
    </r>
  </si>
  <si>
    <t xml:space="preserve">        Sinon le budget sera dépassé avant la fin des délais des travaux</t>
  </si>
  <si>
    <r>
      <t xml:space="preserve">- </t>
    </r>
    <r>
      <rPr>
        <b/>
        <sz val="11"/>
        <color theme="1"/>
        <rFont val="Calibri"/>
        <family val="2"/>
        <scheme val="minor"/>
      </rPr>
      <t xml:space="preserve">Reste dû sur facturation </t>
    </r>
    <r>
      <rPr>
        <sz val="11"/>
        <color theme="1"/>
        <rFont val="Calibri"/>
        <family val="2"/>
        <scheme val="minor"/>
      </rPr>
      <t>permet de contrôler l'évolution des encaissement par rapport à la facturation et permettra de faciliter la prise de décision et de faire des relances</t>
    </r>
  </si>
  <si>
    <r>
      <t xml:space="preserve">- </t>
    </r>
    <r>
      <rPr>
        <b/>
        <sz val="11"/>
        <color theme="1"/>
        <rFont val="Calibri"/>
        <family val="2"/>
        <scheme val="minor"/>
      </rPr>
      <t xml:space="preserve">%Cons. délais </t>
    </r>
    <r>
      <rPr>
        <sz val="11"/>
        <color theme="1"/>
        <rFont val="Calibri"/>
        <family val="2"/>
        <scheme val="minor"/>
      </rPr>
      <t>permet de connaitre l'avancement des délais par rapport à l'OS de démarrage, un indicateur est mis dans le cas où les délais sont dépassés</t>
    </r>
  </si>
  <si>
    <r>
      <t xml:space="preserve">- </t>
    </r>
    <r>
      <rPr>
        <b/>
        <sz val="11"/>
        <color theme="1"/>
        <rFont val="Calibri"/>
        <family val="2"/>
        <scheme val="minor"/>
      </rPr>
      <t>%Facturation</t>
    </r>
    <r>
      <rPr>
        <sz val="11"/>
        <color theme="1"/>
        <rFont val="Calibri"/>
        <family val="2"/>
        <scheme val="minor"/>
      </rPr>
      <t xml:space="preserve"> permettra de faire le rapprochement entre avec le </t>
    </r>
    <r>
      <rPr>
        <b/>
        <sz val="11"/>
        <color theme="1"/>
        <rFont val="Calibri"/>
        <family val="2"/>
        <scheme val="minor"/>
      </rPr>
      <t xml:space="preserve">%Cons. delais </t>
    </r>
    <r>
      <rPr>
        <sz val="11"/>
        <color theme="1"/>
        <rFont val="Calibri"/>
        <family val="2"/>
        <scheme val="minor"/>
      </rPr>
      <t>et se rassurer qu'il n'y ait pas un très grand écart</t>
    </r>
  </si>
  <si>
    <r>
      <t xml:space="preserve">- </t>
    </r>
    <r>
      <rPr>
        <b/>
        <sz val="11"/>
        <color theme="1"/>
        <rFont val="Calibri"/>
        <family val="2"/>
        <scheme val="minor"/>
      </rPr>
      <t xml:space="preserve">%Encaissement </t>
    </r>
    <r>
      <rPr>
        <sz val="11"/>
        <color theme="1"/>
        <rFont val="Calibri"/>
        <family val="2"/>
        <scheme val="minor"/>
      </rPr>
      <t xml:space="preserve">est calculé par rapport à la facturation et nous permettra de faire le rapprochement par rapport au </t>
    </r>
    <r>
      <rPr>
        <b/>
        <sz val="11"/>
        <color theme="1"/>
        <rFont val="Calibri"/>
        <family val="2"/>
        <scheme val="minor"/>
      </rPr>
      <t>Reste dû sur facturation</t>
    </r>
  </si>
  <si>
    <r>
      <t xml:space="preserve">- </t>
    </r>
    <r>
      <rPr>
        <b/>
        <sz val="11"/>
        <color theme="1"/>
        <rFont val="Calibri"/>
        <family val="2"/>
        <scheme val="minor"/>
      </rPr>
      <t>Etat du projet</t>
    </r>
    <r>
      <rPr>
        <sz val="11"/>
        <color theme="1"/>
        <rFont val="Calibri"/>
        <family val="2"/>
        <scheme val="minor"/>
      </rPr>
      <t xml:space="preserve"> permet de savoir si le projet est en cours ou terminé ou suspendu</t>
    </r>
  </si>
  <si>
    <t>CARNET DE COMMANDE</t>
  </si>
  <si>
    <t>annee</t>
  </si>
  <si>
    <t>AGIRE</t>
  </si>
  <si>
    <t>STATUT</t>
  </si>
  <si>
    <t>Restant dû réel</t>
  </si>
  <si>
    <t>Créances douteuses</t>
  </si>
  <si>
    <t>SCB LAFARGE_1</t>
  </si>
  <si>
    <t>SIMAU_1</t>
  </si>
  <si>
    <t>SIMAU_2</t>
  </si>
  <si>
    <t>EGBTP_1</t>
  </si>
  <si>
    <t>EGBTP_2</t>
  </si>
  <si>
    <t>CFAO_1</t>
  </si>
  <si>
    <t>CFAO_2</t>
  </si>
  <si>
    <t>ADEOTI PMO_1</t>
  </si>
  <si>
    <t>ADEOTI PMO_2</t>
  </si>
  <si>
    <t>ADEOTI PMO_3</t>
  </si>
  <si>
    <t>SETEC (SOUS TRAITANCE)_1</t>
  </si>
  <si>
    <t>SETEC (SOUS TRAITANCE)_2</t>
  </si>
  <si>
    <t>DREAM BEACH_1</t>
  </si>
  <si>
    <t>DREAM BEACH_2</t>
  </si>
  <si>
    <t>BOTINZA_1</t>
  </si>
  <si>
    <t>BOTINZA_2</t>
  </si>
  <si>
    <t>CITES ADMINISTRATIVES (1&amp;2)_1</t>
  </si>
  <si>
    <t>CITES ADMINISTRATIVES (1&amp;2)_2</t>
  </si>
  <si>
    <t>CITES ADMINISTRATIVES (1&amp;2)_3</t>
  </si>
  <si>
    <t>008/25</t>
  </si>
  <si>
    <t>009/25</t>
  </si>
  <si>
    <t>CONOCO_1</t>
  </si>
  <si>
    <t>CONOCO_2</t>
  </si>
  <si>
    <t>NATIVE HOTEL_1</t>
  </si>
  <si>
    <t>NATIVE HOTEL_2</t>
  </si>
  <si>
    <t>JULIUS BERGER_1</t>
  </si>
  <si>
    <t>JULIUS BERGER_2</t>
  </si>
  <si>
    <t>JULIUS BERGER_3</t>
  </si>
  <si>
    <t>PRISON CIVILE DE OUEDO_1</t>
  </si>
  <si>
    <t>PRISON CIVILE DE OUEDO_2</t>
  </si>
  <si>
    <t>MATIERE PMO</t>
  </si>
  <si>
    <t>MATIERE PMO_1</t>
  </si>
  <si>
    <t>MATIERE PMO_2</t>
  </si>
  <si>
    <t>ENTITE</t>
  </si>
  <si>
    <t xml:space="preserve"> Mission d’assistance pour le passage en comptabilité analytique d’exploitation et coaching du DAF de l’entreprise </t>
  </si>
  <si>
    <t>SIRAT</t>
  </si>
  <si>
    <t>COVE BEACH</t>
  </si>
  <si>
    <t>PMO MATIERE BENIN</t>
  </si>
  <si>
    <t>PMO MATIERE</t>
  </si>
  <si>
    <t>017/25</t>
  </si>
  <si>
    <t>011/25</t>
  </si>
  <si>
    <t>012/25</t>
  </si>
  <si>
    <t>013/25</t>
  </si>
  <si>
    <t>014/25</t>
  </si>
  <si>
    <t>015/25</t>
  </si>
  <si>
    <t>018/25</t>
  </si>
  <si>
    <t>019/25</t>
  </si>
  <si>
    <t>010/25</t>
  </si>
  <si>
    <t>016/25</t>
  </si>
  <si>
    <t>020/25</t>
  </si>
  <si>
    <t>Construction de la cité financière phase 1 SIMAU BIIC CDCB-CAGC &amp; INSTAD (22 mois)</t>
  </si>
  <si>
    <t>En cours de contractualisation</t>
  </si>
  <si>
    <t>L'audit de l'usine ORANA</t>
  </si>
  <si>
    <t>Hotel Cove Beach</t>
  </si>
  <si>
    <t>Mise à disposition d’un Contract Manager</t>
  </si>
  <si>
    <t>Assistance au Projet de construction villas natives à Ouidah</t>
  </si>
  <si>
    <t>Contournement Nord de Cotonou</t>
  </si>
  <si>
    <t>Mise en place d'un bureau de management de projet (PMO)
sur une période de 06 mois pour l'élaboration de projet
d'exécution</t>
  </si>
  <si>
    <t>Mise en place d'un Bureau de Management de Projet (PMO)
pour l'Entreprise MATIERE BENIN (12 mois)</t>
  </si>
  <si>
    <t xml:space="preserve">SETEC </t>
  </si>
  <si>
    <r>
      <t xml:space="preserve">TABLEAU DE BORD FINANCIER AU </t>
    </r>
    <r>
      <rPr>
        <b/>
        <sz val="9"/>
        <color rgb="FFFF0000"/>
        <rFont val="Trebuchet MS"/>
        <family val="2"/>
      </rPr>
      <t>______________________________</t>
    </r>
  </si>
  <si>
    <r>
      <t xml:space="preserve">TABLEAU DE BORD FINANCIER AU </t>
    </r>
    <r>
      <rPr>
        <b/>
        <sz val="7"/>
        <color rgb="FFFF0000"/>
        <rFont val="Trebuchet MS"/>
        <family val="2"/>
      </rPr>
      <t>______________________________</t>
    </r>
  </si>
  <si>
    <t>SIRAT (Prison civile)</t>
  </si>
  <si>
    <t>MATIERE (9 ponts)</t>
  </si>
  <si>
    <t>Montant du Contrat</t>
  </si>
  <si>
    <t>Carnet de commande</t>
  </si>
  <si>
    <t>EGBTP (Suspendu)</t>
  </si>
  <si>
    <t>DREAM BEACH (Suspendu)</t>
  </si>
  <si>
    <t>Date de début</t>
  </si>
  <si>
    <t>Date de fin</t>
  </si>
  <si>
    <t>023/25</t>
  </si>
  <si>
    <t>022/25</t>
  </si>
  <si>
    <t>021/25</t>
  </si>
  <si>
    <t>026/25</t>
  </si>
  <si>
    <t>025/25</t>
  </si>
  <si>
    <t>024/25</t>
  </si>
  <si>
    <t>029/25</t>
  </si>
  <si>
    <t>030/25</t>
  </si>
  <si>
    <t>027/25</t>
  </si>
  <si>
    <t>028/25</t>
  </si>
  <si>
    <t>Fév et mars 2025</t>
  </si>
  <si>
    <t>035/25</t>
  </si>
  <si>
    <t>034/25</t>
  </si>
  <si>
    <t>033/25</t>
  </si>
  <si>
    <t>032/25</t>
  </si>
  <si>
    <t>031/25</t>
  </si>
  <si>
    <t>AFFAIREAF022b
ADEOTI/ ETUDES METHODES D'EXECUTION ET BILAN DES RESSOURCES</t>
  </si>
  <si>
    <t>036/25</t>
  </si>
  <si>
    <t>Facturation globale</t>
  </si>
  <si>
    <t>Proforma 001/25</t>
  </si>
  <si>
    <t>ADEOTI/ ETUDES METHODES D'EXECUTION ET BILAN DES RESSOURCES</t>
  </si>
  <si>
    <t>037/25</t>
  </si>
  <si>
    <t>038/25</t>
  </si>
  <si>
    <t>039/25</t>
  </si>
  <si>
    <t>042/25</t>
  </si>
  <si>
    <t>047/25</t>
  </si>
  <si>
    <t>046/25</t>
  </si>
  <si>
    <t>045/25</t>
  </si>
  <si>
    <t>044/25</t>
  </si>
  <si>
    <t>043/25</t>
  </si>
  <si>
    <t>041/25</t>
  </si>
  <si>
    <t>040/25</t>
  </si>
  <si>
    <t>AFFAIREAF025
CONTRÔLE DES TRAVAUX CARREFOUR LE BELIER PTB</t>
  </si>
  <si>
    <t>051/25</t>
  </si>
  <si>
    <t>Fev mars et Avril 2025</t>
  </si>
  <si>
    <t>052/25</t>
  </si>
  <si>
    <t>CONTRÔLE DES TRAVAUX CARREFOUR LE BELIER PTB</t>
  </si>
  <si>
    <t>AFFAIREAF027
DET 22 STADES COMMUNAUX</t>
  </si>
  <si>
    <t>Mission de DET dans le cadre du projet de construction de la Cité Financière phase 1</t>
  </si>
  <si>
    <t>Mission de DET dans le cadre du projet de Construction de l'Hôtel de Ville de Porto Novo</t>
  </si>
  <si>
    <t>MISSION DE DIRECTION D’EXECUTION DES TRAVAUX (DET) DANS LE CADRE DES TRAVAUX DE MAINTENANCE ET DE SAUVEGARDE DES OUVRAGES DE VINGT-DEUX (22) STADES DE TYPE OMNISPORT</t>
  </si>
  <si>
    <t>Marché relatif au suivi d'un projet d'installation d'une usine de fabrication de matériaux de construction financé par la CDCB</t>
  </si>
  <si>
    <t>Marché relatif au suivi d'un projet d'installation d'une usine de transformation d'agrume et d'ananas financé par la CDCB</t>
  </si>
  <si>
    <t>Réalisation du contrôle et surveillance des travaux de 9 ponts unibridge et de 16 ouvrages hydraulique en zone péri-urbaine au Bénin (12 mois)</t>
  </si>
  <si>
    <t>Contrôle et surveillance des travaux d'installations de deux postes de péages mobiles à Kétou et Houègbo (4mois)</t>
  </si>
  <si>
    <t>Contrôle et surveillance des travaux de réparation des dégradations critiques relevées sur le réseau routier national dans les départements de l'Alibori ,,,,lot 1 (5 mois)</t>
  </si>
  <si>
    <t>AFFAIREAF019
NATIVE HOTEL (AVENANT)</t>
  </si>
  <si>
    <t>Sous total NATIVE HOTEL (AVENANT)</t>
  </si>
  <si>
    <t>Avenant au Contrat_Assistance au projet de construction Villas Natives à Ouidah (6 mois)</t>
  </si>
  <si>
    <t xml:space="preserve">POINT DES DERNIERS REGLEMENTS CLIENTS ET ENCAISSEMENTS CHEQUES </t>
  </si>
  <si>
    <t>Eléments</t>
  </si>
  <si>
    <t>Banque proposée pour la remise</t>
  </si>
  <si>
    <t>Banque du Tireur</t>
  </si>
  <si>
    <t>Chèque de NSIA (Sinistre lié au véhicule de ZOCLI)</t>
  </si>
  <si>
    <t>Règlement de la facture des 30% de coahing du DAF et des 100% de l'Etude d'exécution et Bilan ADM</t>
  </si>
  <si>
    <t>Montant du chèque</t>
  </si>
  <si>
    <t>Règlement de la facture de CDCB</t>
  </si>
  <si>
    <t>AFFAIREAF020
JULIUS BERGER NIGERIA PLC Montant du contrat HT 118 800 000 F</t>
  </si>
  <si>
    <t>AFFAIREAF
JULIUS BERGER NIGERIA PLC Montant du contrat HT 86 000 000 F</t>
  </si>
  <si>
    <t>RAP CONOCO</t>
  </si>
  <si>
    <t>071/25</t>
  </si>
  <si>
    <t>Fev à juin 2025</t>
  </si>
  <si>
    <t>RAP/Avce Matiere</t>
  </si>
  <si>
    <t>050/25</t>
  </si>
  <si>
    <t>072/25</t>
  </si>
  <si>
    <t>AFFAIREAF
JULIUS BERGER NIGERIA PLC Montant du contrat HT 25.000.000 F</t>
  </si>
  <si>
    <t>PMO MATIERE BENIN
Montant HT du contrat : 384.911.850 F</t>
  </si>
  <si>
    <t>078/25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</si>
</sst>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rgb="FFFF0000"/>
      <name val="Trebuchet MS"/>
      <family val="2"/>
    </font>
    <font>
      <sz val="10"/>
      <name val="Trebuchet MS"/>
      <family val="2"/>
    </font>
    <font>
      <sz val="11"/>
      <color theme="1"/>
      <name val="Garamond"/>
      <family val="1"/>
    </font>
    <font>
      <b/>
      <sz val="18"/>
      <color theme="1"/>
      <name val="Garamond"/>
      <family val="1"/>
    </font>
    <font>
      <b/>
      <sz val="16"/>
      <color theme="1"/>
      <name val="Garamond"/>
      <family val="1"/>
    </font>
    <font>
      <b/>
      <sz val="11"/>
      <color theme="1"/>
      <name val="Garamond"/>
      <family val="1"/>
    </font>
    <font>
      <sz val="8"/>
      <name val="Calibri"/>
      <family val="2"/>
      <scheme val="minor"/>
    </font>
    <font>
      <sz val="9"/>
      <color theme="1"/>
      <name val="Trebuchet MS"/>
      <family val="2"/>
    </font>
    <font>
      <b/>
      <sz val="9"/>
      <color theme="4" tint="-0.499984740745262"/>
      <name val="Trebuchet MS"/>
      <family val="2"/>
    </font>
    <font>
      <b/>
      <sz val="9"/>
      <color theme="1"/>
      <name val="Trebuchet MS"/>
      <family val="2"/>
    </font>
    <font>
      <sz val="9"/>
      <name val="Trebuchet MS"/>
      <family val="2"/>
    </font>
    <font>
      <b/>
      <sz val="9"/>
      <color rgb="FFFF0000"/>
      <name val="Trebuchet MS"/>
      <family val="2"/>
    </font>
    <font>
      <sz val="10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theme="1"/>
      <name val="Calibri"/>
      <family val="2"/>
      <scheme val="minor"/>
    </font>
    <font>
      <b/>
      <sz val="16"/>
      <color theme="0"/>
      <name val="Arial Narrow"/>
      <family val="2"/>
    </font>
    <font>
      <b/>
      <sz val="16"/>
      <color rgb="FFFF000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1"/>
      <color theme="1"/>
      <name val="Arial Narrow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0"/>
      <name val="Arial Narrow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8"/>
      <color rgb="FFC00000"/>
      <name val="Trebuchet MS"/>
      <family val="2"/>
    </font>
    <font>
      <sz val="8"/>
      <color theme="5" tint="-0.499984740745262"/>
      <name val="Trebuchet MS"/>
      <family val="2"/>
    </font>
    <font>
      <b/>
      <sz val="9"/>
      <color theme="0"/>
      <name val="Trebuchet MS"/>
      <family val="2"/>
    </font>
    <font>
      <sz val="7"/>
      <color theme="1"/>
      <name val="Trebuchet MS"/>
      <family val="2"/>
    </font>
    <font>
      <b/>
      <sz val="7"/>
      <color theme="0"/>
      <name val="Trebuchet MS"/>
      <family val="2"/>
    </font>
    <font>
      <b/>
      <sz val="7"/>
      <color rgb="FFFF0000"/>
      <name val="Trebuchet MS"/>
      <family val="2"/>
    </font>
    <font>
      <b/>
      <sz val="7"/>
      <color theme="1"/>
      <name val="Trebuchet MS"/>
      <family val="2"/>
    </font>
    <font>
      <b/>
      <sz val="13"/>
      <color theme="5" tint="-0.249977111117893"/>
      <name val="Arial Narrow"/>
      <family val="2"/>
    </font>
    <font>
      <b/>
      <sz val="11"/>
      <color theme="5" tint="-0.249977111117893"/>
      <name val="Arial Narrow"/>
      <family val="2"/>
    </font>
    <font>
      <i/>
      <sz val="10"/>
      <color theme="7" tint="-0.249977111117893"/>
      <name val="Arial Narrow"/>
      <family val="2"/>
    </font>
    <font>
      <b/>
      <sz val="11"/>
      <color rgb="FFC00000"/>
      <name val="Arial Narrow"/>
      <family val="2"/>
    </font>
    <font>
      <sz val="11"/>
      <color theme="1"/>
      <name val="Arial Narrow"/>
      <family val="2"/>
    </font>
    <font>
      <sz val="10"/>
      <color theme="1"/>
      <name val="Trebuchet MS"/>
      <family val="2"/>
    </font>
    <font>
      <b/>
      <sz val="16"/>
      <color theme="1"/>
      <name val="Trebuchet MS"/>
      <family val="2"/>
    </font>
    <font>
      <sz val="10"/>
      <color theme="1"/>
      <name val="Arial Narrow"/>
      <family val="2"/>
    </font>
    <font>
      <sz val="11"/>
      <color theme="1"/>
      <name val="Trebuchet MS"/>
      <family val="2"/>
    </font>
    <font>
      <b/>
      <sz val="10"/>
      <name val="Trebuchet MS"/>
      <family val="2"/>
    </font>
  </fonts>
  <fills count="1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4">
    <xf numFmtId="0" fontId="0" fillId="0" borderId="0" xfId="0"/>
    <xf numFmtId="17" fontId="0" fillId="0" borderId="0" xfId="0" applyNumberFormat="1"/>
    <xf numFmtId="0" fontId="2" fillId="0" borderId="0" xfId="0" applyFont="1"/>
    <xf numFmtId="14" fontId="2" fillId="0" borderId="0" xfId="0" applyNumberFormat="1" applyFont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164" fontId="2" fillId="0" borderId="0" xfId="0" applyNumberFormat="1" applyFont="1"/>
    <xf numFmtId="164" fontId="4" fillId="0" borderId="1" xfId="1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0" fontId="2" fillId="3" borderId="0" xfId="0" applyFont="1" applyFill="1"/>
    <xf numFmtId="0" fontId="2" fillId="3" borderId="1" xfId="0" applyFont="1" applyFill="1" applyBorder="1" applyAlignment="1">
      <alignment horizontal="center" vertical="center"/>
    </xf>
    <xf numFmtId="17" fontId="2" fillId="3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164" fontId="2" fillId="3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3" borderId="1" xfId="1" applyNumberFormat="1" applyFont="1" applyFill="1" applyBorder="1" applyAlignment="1">
      <alignment horizontal="center" vertical="center"/>
    </xf>
    <xf numFmtId="0" fontId="6" fillId="0" borderId="0" xfId="0" applyFont="1"/>
    <xf numFmtId="0" fontId="9" fillId="4" borderId="26" xfId="0" applyFont="1" applyFill="1" applyBorder="1" applyAlignment="1">
      <alignment horizontal="left" vertical="center"/>
    </xf>
    <xf numFmtId="0" fontId="9" fillId="4" borderId="0" xfId="0" applyFont="1" applyFill="1"/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/>
    </xf>
    <xf numFmtId="0" fontId="5" fillId="3" borderId="0" xfId="0" applyFont="1" applyFill="1"/>
    <xf numFmtId="0" fontId="2" fillId="0" borderId="1" xfId="0" applyFont="1" applyBorder="1"/>
    <xf numFmtId="164" fontId="2" fillId="0" borderId="0" xfId="0" applyNumberFormat="1" applyFont="1" applyAlignment="1">
      <alignment horizontal="center" vertical="center"/>
    </xf>
    <xf numFmtId="9" fontId="2" fillId="0" borderId="0" xfId="2" applyFont="1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/>
    <xf numFmtId="14" fontId="2" fillId="3" borderId="1" xfId="0" applyNumberFormat="1" applyFont="1" applyFill="1" applyBorder="1"/>
    <xf numFmtId="17" fontId="5" fillId="3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/>
    <xf numFmtId="14" fontId="2" fillId="3" borderId="1" xfId="0" applyNumberFormat="1" applyFont="1" applyFill="1" applyBorder="1" applyAlignment="1">
      <alignment vertical="center"/>
    </xf>
    <xf numFmtId="0" fontId="11" fillId="0" borderId="0" xfId="0" applyFont="1"/>
    <xf numFmtId="14" fontId="11" fillId="0" borderId="0" xfId="0" applyNumberFormat="1" applyFont="1"/>
    <xf numFmtId="0" fontId="13" fillId="5" borderId="8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14" fontId="13" fillId="5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3" fillId="3" borderId="8" xfId="0" applyFont="1" applyFill="1" applyBorder="1" applyAlignment="1">
      <alignment horizontal="left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164" fontId="11" fillId="0" borderId="1" xfId="1" applyNumberFormat="1" applyFont="1" applyBorder="1" applyAlignment="1">
      <alignment horizontal="center" vertical="center"/>
    </xf>
    <xf numFmtId="14" fontId="13" fillId="6" borderId="1" xfId="0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wrapText="1"/>
    </xf>
    <xf numFmtId="0" fontId="13" fillId="0" borderId="1" xfId="0" applyFont="1" applyBorder="1" applyAlignment="1">
      <alignment vertical="center" wrapText="1"/>
    </xf>
    <xf numFmtId="164" fontId="11" fillId="0" borderId="1" xfId="1" applyNumberFormat="1" applyFont="1" applyBorder="1" applyAlignment="1">
      <alignment horizontal="center" vertical="center" wrapText="1"/>
    </xf>
    <xf numFmtId="17" fontId="11" fillId="0" borderId="1" xfId="1" applyNumberFormat="1" applyFont="1" applyBorder="1" applyAlignment="1">
      <alignment horizontal="center" vertical="center" wrapText="1"/>
    </xf>
    <xf numFmtId="164" fontId="14" fillId="0" borderId="1" xfId="1" applyNumberFormat="1" applyFont="1" applyBorder="1" applyAlignment="1">
      <alignment horizontal="center" vertical="center"/>
    </xf>
    <xf numFmtId="0" fontId="14" fillId="0" borderId="0" xfId="0" applyFont="1"/>
    <xf numFmtId="164" fontId="14" fillId="0" borderId="0" xfId="0" applyNumberFormat="1" applyFont="1"/>
    <xf numFmtId="17" fontId="14" fillId="0" borderId="0" xfId="0" applyNumberFormat="1" applyFont="1"/>
    <xf numFmtId="164" fontId="11" fillId="3" borderId="1" xfId="1" applyNumberFormat="1" applyFont="1" applyFill="1" applyBorder="1" applyAlignment="1">
      <alignment horizontal="center" vertical="center"/>
    </xf>
    <xf numFmtId="0" fontId="11" fillId="3" borderId="0" xfId="0" applyFont="1" applyFill="1"/>
    <xf numFmtId="164" fontId="14" fillId="3" borderId="1" xfId="1" applyNumberFormat="1" applyFont="1" applyFill="1" applyBorder="1" applyAlignment="1">
      <alignment horizontal="center" vertical="center"/>
    </xf>
    <xf numFmtId="164" fontId="14" fillId="0" borderId="1" xfId="1" applyNumberFormat="1" applyFont="1" applyBorder="1" applyAlignment="1">
      <alignment horizontal="left" vertical="center"/>
    </xf>
    <xf numFmtId="0" fontId="15" fillId="0" borderId="1" xfId="0" applyFont="1" applyBorder="1" applyAlignment="1">
      <alignment vertical="center"/>
    </xf>
    <xf numFmtId="164" fontId="15" fillId="0" borderId="1" xfId="1" applyNumberFormat="1" applyFont="1" applyBorder="1" applyAlignment="1">
      <alignment vertical="center"/>
    </xf>
    <xf numFmtId="17" fontId="15" fillId="0" borderId="1" xfId="1" applyNumberFormat="1" applyFont="1" applyBorder="1" applyAlignment="1">
      <alignment vertical="center"/>
    </xf>
    <xf numFmtId="9" fontId="11" fillId="0" borderId="0" xfId="2" applyFont="1"/>
    <xf numFmtId="9" fontId="11" fillId="0" borderId="0" xfId="0" applyNumberFormat="1" applyFont="1"/>
    <xf numFmtId="164" fontId="0" fillId="0" borderId="0" xfId="1" applyNumberFormat="1" applyFont="1"/>
    <xf numFmtId="0" fontId="0" fillId="0" borderId="0" xfId="0" pivotButton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0" xfId="0" applyNumberFormat="1"/>
    <xf numFmtId="164" fontId="16" fillId="3" borderId="1" xfId="1" applyNumberFormat="1" applyFont="1" applyFill="1" applyBorder="1" applyAlignment="1">
      <alignment horizontal="center" vertical="center"/>
    </xf>
    <xf numFmtId="164" fontId="2" fillId="0" borderId="0" xfId="1" applyNumberFormat="1" applyFont="1"/>
    <xf numFmtId="0" fontId="4" fillId="3" borderId="1" xfId="0" applyFont="1" applyFill="1" applyBorder="1" applyAlignment="1">
      <alignment horizontal="left" vertic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left" vertical="center"/>
    </xf>
    <xf numFmtId="164" fontId="2" fillId="3" borderId="0" xfId="0" applyNumberFormat="1" applyFont="1" applyFill="1"/>
    <xf numFmtId="0" fontId="3" fillId="7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164" fontId="21" fillId="0" borderId="3" xfId="1" applyNumberFormat="1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164" fontId="21" fillId="0" borderId="1" xfId="1" applyNumberFormat="1" applyFont="1" applyBorder="1" applyAlignment="1">
      <alignment vertical="center" wrapText="1"/>
    </xf>
    <xf numFmtId="14" fontId="21" fillId="0" borderId="1" xfId="0" applyNumberFormat="1" applyFont="1" applyBorder="1" applyAlignment="1">
      <alignment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10" borderId="12" xfId="0" applyFont="1" applyFill="1" applyBorder="1" applyAlignment="1">
      <alignment horizontal="center" vertical="center" wrapText="1"/>
    </xf>
    <xf numFmtId="164" fontId="21" fillId="4" borderId="1" xfId="1" applyNumberFormat="1" applyFont="1" applyFill="1" applyBorder="1" applyAlignment="1">
      <alignment vertical="center" wrapText="1"/>
    </xf>
    <xf numFmtId="164" fontId="21" fillId="0" borderId="1" xfId="1" applyNumberFormat="1" applyFont="1" applyFill="1" applyBorder="1" applyAlignment="1">
      <alignment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vertical="center" wrapText="1"/>
    </xf>
    <xf numFmtId="164" fontId="21" fillId="0" borderId="8" xfId="1" applyNumberFormat="1" applyFont="1" applyBorder="1" applyAlignment="1">
      <alignment vertical="center" wrapText="1"/>
    </xf>
    <xf numFmtId="14" fontId="21" fillId="0" borderId="8" xfId="0" applyNumberFormat="1" applyFont="1" applyBorder="1" applyAlignment="1">
      <alignment vertical="center" wrapText="1"/>
    </xf>
    <xf numFmtId="0" fontId="21" fillId="0" borderId="13" xfId="0" applyFont="1" applyBorder="1" applyAlignment="1">
      <alignment horizontal="center" vertical="center" wrapText="1"/>
    </xf>
    <xf numFmtId="14" fontId="21" fillId="0" borderId="4" xfId="0" applyNumberFormat="1" applyFont="1" applyBorder="1" applyAlignment="1">
      <alignment vertical="center" wrapText="1"/>
    </xf>
    <xf numFmtId="0" fontId="21" fillId="0" borderId="35" xfId="0" applyFont="1" applyBorder="1" applyAlignment="1">
      <alignment horizontal="center" vertical="center" wrapText="1"/>
    </xf>
    <xf numFmtId="164" fontId="23" fillId="0" borderId="32" xfId="1" applyNumberFormat="1" applyFont="1" applyBorder="1" applyAlignment="1">
      <alignment vertical="center" wrapText="1"/>
    </xf>
    <xf numFmtId="164" fontId="23" fillId="0" borderId="33" xfId="1" applyNumberFormat="1" applyFont="1" applyBorder="1" applyAlignment="1">
      <alignment vertical="center" wrapText="1"/>
    </xf>
    <xf numFmtId="10" fontId="23" fillId="0" borderId="0" xfId="2" applyNumberFormat="1" applyFont="1" applyBorder="1" applyAlignment="1">
      <alignment vertical="center" wrapText="1"/>
    </xf>
    <xf numFmtId="164" fontId="23" fillId="0" borderId="31" xfId="1" applyNumberFormat="1" applyFont="1" applyBorder="1" applyAlignment="1">
      <alignment vertical="center" wrapText="1"/>
    </xf>
    <xf numFmtId="14" fontId="23" fillId="0" borderId="0" xfId="0" applyNumberFormat="1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164" fontId="21" fillId="0" borderId="0" xfId="0" applyNumberFormat="1" applyFont="1" applyAlignment="1">
      <alignment vertical="center" wrapText="1"/>
    </xf>
    <xf numFmtId="3" fontId="23" fillId="0" borderId="0" xfId="1" applyNumberFormat="1" applyFont="1" applyBorder="1" applyAlignment="1">
      <alignment horizontal="center" vertical="center" wrapText="1"/>
    </xf>
    <xf numFmtId="3" fontId="23" fillId="0" borderId="24" xfId="0" applyNumberFormat="1" applyFont="1" applyBorder="1" applyAlignment="1">
      <alignment horizontal="center" vertical="center" wrapText="1"/>
    </xf>
    <xf numFmtId="3" fontId="23" fillId="0" borderId="4" xfId="0" applyNumberFormat="1" applyFont="1" applyBorder="1" applyAlignment="1">
      <alignment horizontal="center" vertical="center" wrapText="1"/>
    </xf>
    <xf numFmtId="3" fontId="23" fillId="0" borderId="35" xfId="0" applyNumberFormat="1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164" fontId="21" fillId="0" borderId="12" xfId="1" applyNumberFormat="1" applyFont="1" applyBorder="1" applyAlignment="1">
      <alignment vertical="center" wrapText="1"/>
    </xf>
    <xf numFmtId="0" fontId="21" fillId="0" borderId="39" xfId="0" applyFont="1" applyBorder="1" applyAlignment="1">
      <alignment horizontal="center" vertical="center" wrapText="1"/>
    </xf>
    <xf numFmtId="164" fontId="21" fillId="0" borderId="40" xfId="1" applyNumberFormat="1" applyFont="1" applyBorder="1" applyAlignment="1">
      <alignment vertical="center" wrapText="1"/>
    </xf>
    <xf numFmtId="164" fontId="21" fillId="0" borderId="41" xfId="1" applyNumberFormat="1" applyFont="1" applyBorder="1" applyAlignment="1">
      <alignment vertical="center" wrapText="1"/>
    </xf>
    <xf numFmtId="164" fontId="23" fillId="0" borderId="1" xfId="1" applyNumberFormat="1" applyFont="1" applyBorder="1" applyAlignment="1">
      <alignment vertical="center" wrapText="1"/>
    </xf>
    <xf numFmtId="0" fontId="21" fillId="0" borderId="42" xfId="0" applyFont="1" applyBorder="1" applyAlignment="1">
      <alignment horizontal="center" vertical="center" wrapText="1"/>
    </xf>
    <xf numFmtId="164" fontId="21" fillId="0" borderId="5" xfId="1" applyNumberFormat="1" applyFont="1" applyBorder="1" applyAlignment="1">
      <alignment vertical="center" wrapText="1"/>
    </xf>
    <xf numFmtId="164" fontId="21" fillId="0" borderId="43" xfId="1" applyNumberFormat="1" applyFont="1" applyBorder="1" applyAlignment="1">
      <alignment vertical="center" wrapText="1"/>
    </xf>
    <xf numFmtId="164" fontId="21" fillId="0" borderId="35" xfId="1" applyNumberFormat="1" applyFont="1" applyBorder="1" applyAlignment="1">
      <alignment vertical="center" wrapText="1"/>
    </xf>
    <xf numFmtId="0" fontId="21" fillId="0" borderId="44" xfId="0" applyFont="1" applyBorder="1" applyAlignment="1">
      <alignment horizontal="center" vertical="center" wrapText="1"/>
    </xf>
    <xf numFmtId="164" fontId="21" fillId="0" borderId="9" xfId="1" applyNumberFormat="1" applyFont="1" applyBorder="1" applyAlignment="1">
      <alignment vertical="center" wrapText="1"/>
    </xf>
    <xf numFmtId="164" fontId="21" fillId="0" borderId="45" xfId="1" applyNumberFormat="1" applyFont="1" applyBorder="1" applyAlignment="1">
      <alignment vertical="center" wrapText="1"/>
    </xf>
    <xf numFmtId="164" fontId="23" fillId="0" borderId="32" xfId="0" applyNumberFormat="1" applyFont="1" applyBorder="1" applyAlignment="1">
      <alignment vertical="center" wrapText="1"/>
    </xf>
    <xf numFmtId="164" fontId="23" fillId="0" borderId="38" xfId="0" applyNumberFormat="1" applyFont="1" applyBorder="1" applyAlignment="1">
      <alignment vertical="center" wrapText="1"/>
    </xf>
    <xf numFmtId="164" fontId="23" fillId="0" borderId="28" xfId="0" applyNumberFormat="1" applyFont="1" applyBorder="1" applyAlignment="1">
      <alignment vertical="center" wrapText="1"/>
    </xf>
    <xf numFmtId="164" fontId="23" fillId="0" borderId="1" xfId="0" applyNumberFormat="1" applyFont="1" applyBorder="1" applyAlignment="1">
      <alignment vertical="center" wrapText="1"/>
    </xf>
    <xf numFmtId="164" fontId="23" fillId="0" borderId="0" xfId="0" applyNumberFormat="1" applyFont="1" applyAlignment="1">
      <alignment vertical="center" wrapText="1"/>
    </xf>
    <xf numFmtId="0" fontId="0" fillId="3" borderId="0" xfId="0" applyFill="1"/>
    <xf numFmtId="0" fontId="24" fillId="3" borderId="28" xfId="0" applyFont="1" applyFill="1" applyBorder="1"/>
    <xf numFmtId="0" fontId="24" fillId="3" borderId="29" xfId="0" applyFont="1" applyFill="1" applyBorder="1"/>
    <xf numFmtId="0" fontId="0" fillId="3" borderId="29" xfId="0" applyFill="1" applyBorder="1"/>
    <xf numFmtId="0" fontId="0" fillId="3" borderId="30" xfId="0" applyFill="1" applyBorder="1"/>
    <xf numFmtId="0" fontId="25" fillId="3" borderId="0" xfId="0" applyFont="1" applyFill="1"/>
    <xf numFmtId="0" fontId="0" fillId="3" borderId="0" xfId="0" quotePrefix="1" applyFill="1"/>
    <xf numFmtId="0" fontId="23" fillId="12" borderId="32" xfId="0" applyFont="1" applyFill="1" applyBorder="1" applyAlignment="1">
      <alignment horizontal="center" vertical="center" wrapText="1"/>
    </xf>
    <xf numFmtId="10" fontId="21" fillId="12" borderId="1" xfId="2" applyNumberFormat="1" applyFont="1" applyFill="1" applyBorder="1" applyAlignment="1">
      <alignment horizontal="center" vertical="center" wrapText="1"/>
    </xf>
    <xf numFmtId="10" fontId="23" fillId="12" borderId="0" xfId="2" applyNumberFormat="1" applyFont="1" applyFill="1" applyBorder="1" applyAlignment="1">
      <alignment vertical="center" wrapText="1"/>
    </xf>
    <xf numFmtId="164" fontId="21" fillId="12" borderId="1" xfId="1" applyNumberFormat="1" applyFont="1" applyFill="1" applyBorder="1" applyAlignment="1">
      <alignment vertical="center" wrapText="1"/>
    </xf>
    <xf numFmtId="164" fontId="23" fillId="12" borderId="33" xfId="1" applyNumberFormat="1" applyFont="1" applyFill="1" applyBorder="1" applyAlignment="1">
      <alignment vertical="center" wrapText="1"/>
    </xf>
    <xf numFmtId="10" fontId="21" fillId="12" borderId="1" xfId="2" applyNumberFormat="1" applyFont="1" applyFill="1" applyBorder="1" applyAlignment="1">
      <alignment vertical="center" wrapText="1"/>
    </xf>
    <xf numFmtId="10" fontId="21" fillId="12" borderId="4" xfId="2" applyNumberFormat="1" applyFont="1" applyFill="1" applyBorder="1" applyAlignment="1">
      <alignment vertical="center" wrapText="1"/>
    </xf>
    <xf numFmtId="164" fontId="21" fillId="4" borderId="8" xfId="1" applyNumberFormat="1" applyFont="1" applyFill="1" applyBorder="1" applyAlignment="1">
      <alignment vertical="center" wrapText="1"/>
    </xf>
    <xf numFmtId="0" fontId="26" fillId="13" borderId="34" xfId="0" applyFont="1" applyFill="1" applyBorder="1" applyAlignment="1">
      <alignment horizontal="center" vertical="center" wrapText="1"/>
    </xf>
    <xf numFmtId="0" fontId="26" fillId="13" borderId="1" xfId="0" applyFont="1" applyFill="1" applyBorder="1" applyAlignment="1">
      <alignment horizontal="center" vertical="center" wrapText="1"/>
    </xf>
    <xf numFmtId="0" fontId="26" fillId="13" borderId="1" xfId="0" applyFont="1" applyFill="1" applyBorder="1" applyAlignment="1">
      <alignment vertical="center" wrapText="1"/>
    </xf>
    <xf numFmtId="164" fontId="26" fillId="13" borderId="1" xfId="1" applyNumberFormat="1" applyFont="1" applyFill="1" applyBorder="1" applyAlignment="1">
      <alignment vertical="center" wrapText="1"/>
    </xf>
    <xf numFmtId="10" fontId="26" fillId="13" borderId="1" xfId="2" applyNumberFormat="1" applyFont="1" applyFill="1" applyBorder="1" applyAlignment="1">
      <alignment horizontal="center" vertical="center" wrapText="1"/>
    </xf>
    <xf numFmtId="14" fontId="26" fillId="13" borderId="1" xfId="0" applyNumberFormat="1" applyFont="1" applyFill="1" applyBorder="1" applyAlignment="1">
      <alignment vertical="center" wrapText="1"/>
    </xf>
    <xf numFmtId="10" fontId="26" fillId="13" borderId="1" xfId="2" applyNumberFormat="1" applyFont="1" applyFill="1" applyBorder="1" applyAlignment="1">
      <alignment vertical="center" wrapText="1"/>
    </xf>
    <xf numFmtId="0" fontId="26" fillId="13" borderId="12" xfId="0" applyFont="1" applyFill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19" xfId="0" applyFont="1" applyBorder="1" applyAlignment="1">
      <alignment horizontal="left" vertical="center" wrapText="1"/>
    </xf>
    <xf numFmtId="0" fontId="23" fillId="0" borderId="38" xfId="0" applyFont="1" applyBorder="1" applyAlignment="1">
      <alignment horizontal="center" vertical="center" wrapText="1"/>
    </xf>
    <xf numFmtId="0" fontId="21" fillId="4" borderId="34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vertical="center" wrapText="1"/>
    </xf>
    <xf numFmtId="10" fontId="21" fillId="4" borderId="1" xfId="2" applyNumberFormat="1" applyFont="1" applyFill="1" applyBorder="1" applyAlignment="1">
      <alignment horizontal="center" vertical="center" wrapText="1"/>
    </xf>
    <xf numFmtId="14" fontId="21" fillId="4" borderId="1" xfId="0" applyNumberFormat="1" applyFont="1" applyFill="1" applyBorder="1" applyAlignment="1">
      <alignment vertical="center" wrapText="1"/>
    </xf>
    <xf numFmtId="10" fontId="21" fillId="4" borderId="1" xfId="2" applyNumberFormat="1" applyFont="1" applyFill="1" applyBorder="1" applyAlignment="1">
      <alignment vertical="center" wrapText="1"/>
    </xf>
    <xf numFmtId="0" fontId="21" fillId="4" borderId="12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3" fontId="23" fillId="0" borderId="19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0" fontId="21" fillId="3" borderId="34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vertical="center" wrapText="1"/>
    </xf>
    <xf numFmtId="164" fontId="21" fillId="3" borderId="3" xfId="1" applyNumberFormat="1" applyFont="1" applyFill="1" applyBorder="1" applyAlignment="1">
      <alignment vertical="center" wrapText="1"/>
    </xf>
    <xf numFmtId="10" fontId="21" fillId="3" borderId="3" xfId="2" applyNumberFormat="1" applyFont="1" applyFill="1" applyBorder="1" applyAlignment="1">
      <alignment horizontal="center" vertical="center" wrapText="1"/>
    </xf>
    <xf numFmtId="14" fontId="21" fillId="3" borderId="3" xfId="0" applyNumberFormat="1" applyFont="1" applyFill="1" applyBorder="1" applyAlignment="1">
      <alignment vertical="center" wrapText="1"/>
    </xf>
    <xf numFmtId="10" fontId="21" fillId="3" borderId="3" xfId="2" applyNumberFormat="1" applyFont="1" applyFill="1" applyBorder="1" applyAlignment="1">
      <alignment vertical="center" wrapText="1"/>
    </xf>
    <xf numFmtId="0" fontId="21" fillId="3" borderId="15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vertical="center" wrapText="1"/>
    </xf>
    <xf numFmtId="164" fontId="21" fillId="3" borderId="1" xfId="1" applyNumberFormat="1" applyFont="1" applyFill="1" applyBorder="1" applyAlignment="1">
      <alignment vertical="center" wrapText="1"/>
    </xf>
    <xf numFmtId="10" fontId="21" fillId="3" borderId="1" xfId="2" applyNumberFormat="1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vertical="center" wrapText="1"/>
    </xf>
    <xf numFmtId="10" fontId="21" fillId="3" borderId="1" xfId="2" applyNumberFormat="1" applyFont="1" applyFill="1" applyBorder="1" applyAlignment="1">
      <alignment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3" fillId="3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64" fontId="11" fillId="0" borderId="1" xfId="1" applyNumberFormat="1" applyFont="1" applyBorder="1" applyAlignment="1">
      <alignment vertical="center" wrapText="1"/>
    </xf>
    <xf numFmtId="164" fontId="11" fillId="0" borderId="1" xfId="1" applyNumberFormat="1" applyFont="1" applyFill="1" applyBorder="1" applyAlignment="1">
      <alignment vertical="center" wrapText="1"/>
    </xf>
    <xf numFmtId="0" fontId="27" fillId="3" borderId="0" xfId="0" applyFont="1" applyFill="1" applyAlignment="1">
      <alignment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28" fillId="3" borderId="0" xfId="0" applyFont="1" applyFill="1" applyAlignment="1">
      <alignment horizontal="center" vertical="center" wrapText="1"/>
    </xf>
    <xf numFmtId="0" fontId="28" fillId="7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 wrapText="1"/>
    </xf>
    <xf numFmtId="164" fontId="27" fillId="0" borderId="1" xfId="1" applyNumberFormat="1" applyFont="1" applyBorder="1" applyAlignment="1">
      <alignment vertical="center" wrapText="1"/>
    </xf>
    <xf numFmtId="0" fontId="27" fillId="10" borderId="1" xfId="0" applyFont="1" applyFill="1" applyBorder="1" applyAlignment="1">
      <alignment horizontal="center" vertical="center" wrapText="1"/>
    </xf>
    <xf numFmtId="164" fontId="27" fillId="0" borderId="1" xfId="1" applyNumberFormat="1" applyFont="1" applyFill="1" applyBorder="1" applyAlignment="1">
      <alignment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vertical="center" wrapText="1"/>
    </xf>
    <xf numFmtId="164" fontId="27" fillId="3" borderId="1" xfId="1" applyNumberFormat="1" applyFont="1" applyFill="1" applyBorder="1" applyAlignment="1">
      <alignment vertical="center" wrapText="1"/>
    </xf>
    <xf numFmtId="0" fontId="28" fillId="3" borderId="0" xfId="0" applyFont="1" applyFill="1" applyAlignment="1">
      <alignment vertical="center" wrapText="1"/>
    </xf>
    <xf numFmtId="164" fontId="29" fillId="0" borderId="1" xfId="1" applyNumberFormat="1" applyFont="1" applyBorder="1" applyAlignment="1">
      <alignment vertical="center" wrapText="1"/>
    </xf>
    <xf numFmtId="10" fontId="29" fillId="0" borderId="1" xfId="2" applyNumberFormat="1" applyFont="1" applyBorder="1" applyAlignment="1">
      <alignment vertical="center" wrapText="1"/>
    </xf>
    <xf numFmtId="0" fontId="28" fillId="0" borderId="0" xfId="0" applyFont="1" applyAlignment="1">
      <alignment vertical="center" wrapText="1"/>
    </xf>
    <xf numFmtId="3" fontId="28" fillId="0" borderId="0" xfId="1" applyNumberFormat="1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vertical="center" wrapText="1"/>
    </xf>
    <xf numFmtId="164" fontId="30" fillId="3" borderId="1" xfId="1" applyNumberFormat="1" applyFont="1" applyFill="1" applyBorder="1" applyAlignment="1">
      <alignment vertical="center" wrapText="1"/>
    </xf>
    <xf numFmtId="164" fontId="11" fillId="15" borderId="1" xfId="1" applyNumberFormat="1" applyFont="1" applyFill="1" applyBorder="1" applyAlignment="1">
      <alignment vertical="center" wrapText="1"/>
    </xf>
    <xf numFmtId="10" fontId="11" fillId="15" borderId="1" xfId="2" applyNumberFormat="1" applyFont="1" applyFill="1" applyBorder="1" applyAlignment="1">
      <alignment vertical="center" wrapText="1"/>
    </xf>
    <xf numFmtId="0" fontId="32" fillId="3" borderId="0" xfId="0" applyFont="1" applyFill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vertical="center" wrapText="1"/>
    </xf>
    <xf numFmtId="0" fontId="35" fillId="3" borderId="0" xfId="0" applyFont="1" applyFill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/>
    </xf>
    <xf numFmtId="0" fontId="35" fillId="15" borderId="32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vertical="center" wrapText="1"/>
    </xf>
    <xf numFmtId="164" fontId="32" fillId="0" borderId="1" xfId="1" applyNumberFormat="1" applyFont="1" applyFill="1" applyBorder="1" applyAlignment="1">
      <alignment vertical="center" wrapText="1"/>
    </xf>
    <xf numFmtId="10" fontId="32" fillId="15" borderId="1" xfId="2" applyNumberFormat="1" applyFont="1" applyFill="1" applyBorder="1" applyAlignment="1">
      <alignment horizontal="center" vertical="center" wrapText="1"/>
    </xf>
    <xf numFmtId="164" fontId="32" fillId="15" borderId="1" xfId="1" applyNumberFormat="1" applyFont="1" applyFill="1" applyBorder="1" applyAlignment="1">
      <alignment vertical="center" wrapText="1"/>
    </xf>
    <xf numFmtId="10" fontId="32" fillId="15" borderId="1" xfId="2" applyNumberFormat="1" applyFont="1" applyFill="1" applyBorder="1" applyAlignment="1">
      <alignment vertical="center" wrapText="1"/>
    </xf>
    <xf numFmtId="164" fontId="32" fillId="0" borderId="1" xfId="1" applyNumberFormat="1" applyFont="1" applyBorder="1" applyAlignment="1">
      <alignment vertical="center" wrapText="1"/>
    </xf>
    <xf numFmtId="164" fontId="32" fillId="0" borderId="0" xfId="0" applyNumberFormat="1" applyFont="1" applyAlignment="1">
      <alignment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3" fillId="4" borderId="1" xfId="0" applyFont="1" applyFill="1" applyBorder="1" applyAlignment="1">
      <alignment horizontal="left" vertical="center"/>
    </xf>
    <xf numFmtId="14" fontId="23" fillId="4" borderId="1" xfId="0" applyNumberFormat="1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164" fontId="21" fillId="0" borderId="1" xfId="1" applyNumberFormat="1" applyFont="1" applyBorder="1" applyAlignment="1">
      <alignment horizontal="center" vertical="center"/>
    </xf>
    <xf numFmtId="0" fontId="38" fillId="0" borderId="1" xfId="0" applyFont="1" applyBorder="1" applyAlignment="1">
      <alignment horizontal="left" vertical="center"/>
    </xf>
    <xf numFmtId="164" fontId="38" fillId="0" borderId="1" xfId="1" applyNumberFormat="1" applyFont="1" applyBorder="1" applyAlignment="1">
      <alignment horizontal="center" vertical="center"/>
    </xf>
    <xf numFmtId="0" fontId="39" fillId="0" borderId="1" xfId="0" applyFont="1" applyBorder="1" applyAlignment="1">
      <alignment horizontal="left" vertical="center"/>
    </xf>
    <xf numFmtId="164" fontId="39" fillId="0" borderId="1" xfId="0" applyNumberFormat="1" applyFont="1" applyBorder="1" applyAlignment="1">
      <alignment horizontal="left" vertical="center"/>
    </xf>
    <xf numFmtId="14" fontId="21" fillId="0" borderId="1" xfId="0" applyNumberFormat="1" applyFont="1" applyBorder="1" applyAlignment="1">
      <alignment horizontal="center" vertical="center"/>
    </xf>
    <xf numFmtId="14" fontId="40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17" fontId="5" fillId="3" borderId="1" xfId="0" applyNumberFormat="1" applyFont="1" applyFill="1" applyBorder="1" applyAlignment="1">
      <alignment horizontal="left" vertical="center"/>
    </xf>
    <xf numFmtId="0" fontId="5" fillId="16" borderId="1" xfId="0" applyFont="1" applyFill="1" applyBorder="1" applyAlignment="1">
      <alignment horizontal="center" vertical="center" wrapText="1"/>
    </xf>
    <xf numFmtId="17" fontId="5" fillId="16" borderId="1" xfId="0" applyNumberFormat="1" applyFont="1" applyFill="1" applyBorder="1" applyAlignment="1">
      <alignment horizontal="center" vertical="center"/>
    </xf>
    <xf numFmtId="14" fontId="5" fillId="16" borderId="1" xfId="0" applyNumberFormat="1" applyFont="1" applyFill="1" applyBorder="1" applyAlignment="1">
      <alignment horizontal="center" vertical="center"/>
    </xf>
    <xf numFmtId="164" fontId="5" fillId="16" borderId="1" xfId="1" applyNumberFormat="1" applyFont="1" applyFill="1" applyBorder="1" applyAlignment="1">
      <alignment horizontal="center" vertical="center"/>
    </xf>
    <xf numFmtId="164" fontId="2" fillId="16" borderId="1" xfId="1" applyNumberFormat="1" applyFont="1" applyFill="1" applyBorder="1" applyAlignment="1">
      <alignment horizontal="center" vertical="center"/>
    </xf>
    <xf numFmtId="14" fontId="2" fillId="16" borderId="1" xfId="0" applyNumberFormat="1" applyFont="1" applyFill="1" applyBorder="1"/>
    <xf numFmtId="0" fontId="2" fillId="16" borderId="0" xfId="0" applyFont="1" applyFill="1"/>
    <xf numFmtId="14" fontId="40" fillId="16" borderId="1" xfId="0" applyNumberFormat="1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 wrapText="1"/>
    </xf>
    <xf numFmtId="164" fontId="4" fillId="16" borderId="1" xfId="1" applyNumberFormat="1" applyFont="1" applyFill="1" applyBorder="1" applyAlignment="1">
      <alignment horizontal="center" vertical="center"/>
    </xf>
    <xf numFmtId="164" fontId="4" fillId="16" borderId="1" xfId="0" applyNumberFormat="1" applyFont="1" applyFill="1" applyBorder="1"/>
    <xf numFmtId="164" fontId="41" fillId="3" borderId="1" xfId="1" applyNumberFormat="1" applyFont="1" applyFill="1" applyBorder="1" applyAlignment="1">
      <alignment horizontal="center" vertical="center"/>
    </xf>
    <xf numFmtId="9" fontId="42" fillId="4" borderId="1" xfId="2" applyFont="1" applyFill="1" applyBorder="1" applyAlignment="1">
      <alignment wrapText="1"/>
    </xf>
    <xf numFmtId="0" fontId="43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164" fontId="44" fillId="0" borderId="0" xfId="1" applyNumberFormat="1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44" fillId="0" borderId="0" xfId="0" applyFont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164" fontId="44" fillId="0" borderId="1" xfId="1" applyNumberFormat="1" applyFont="1" applyBorder="1" applyAlignment="1">
      <alignment horizontal="center" vertical="center"/>
    </xf>
    <xf numFmtId="0" fontId="44" fillId="17" borderId="1" xfId="0" applyFont="1" applyFill="1" applyBorder="1" applyAlignment="1">
      <alignment horizontal="center" vertical="center" wrapText="1"/>
    </xf>
    <xf numFmtId="164" fontId="44" fillId="17" borderId="1" xfId="1" applyNumberFormat="1" applyFont="1" applyFill="1" applyBorder="1" applyAlignment="1">
      <alignment horizontal="center" vertical="center" wrapText="1"/>
    </xf>
    <xf numFmtId="164" fontId="17" fillId="16" borderId="1" xfId="1" applyNumberFormat="1" applyFont="1" applyFill="1" applyBorder="1" applyAlignment="1">
      <alignment horizontal="center" vertical="center"/>
    </xf>
    <xf numFmtId="0" fontId="44" fillId="0" borderId="1" xfId="0" applyFont="1" applyBorder="1" applyAlignment="1">
      <alignment horizontal="left"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/>
    <xf numFmtId="0" fontId="2" fillId="4" borderId="1" xfId="0" applyFont="1" applyFill="1" applyBorder="1"/>
    <xf numFmtId="0" fontId="45" fillId="4" borderId="1" xfId="0" applyFont="1" applyFill="1" applyBorder="1"/>
    <xf numFmtId="164" fontId="45" fillId="4" borderId="1" xfId="0" applyNumberFormat="1" applyFont="1" applyFill="1" applyBorder="1"/>
    <xf numFmtId="9" fontId="2" fillId="3" borderId="0" xfId="2" applyFont="1" applyFill="1"/>
    <xf numFmtId="0" fontId="12" fillId="0" borderId="0" xfId="0" applyFont="1" applyAlignment="1">
      <alignment horizontal="center" vertical="center"/>
    </xf>
    <xf numFmtId="0" fontId="23" fillId="0" borderId="31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14" borderId="8" xfId="0" applyFont="1" applyFill="1" applyBorder="1" applyAlignment="1">
      <alignment horizontal="center" vertical="center" wrapText="1"/>
    </xf>
    <xf numFmtId="0" fontId="23" fillId="14" borderId="3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>
      <alignment horizontal="center" vertical="center" wrapText="1"/>
    </xf>
    <xf numFmtId="0" fontId="22" fillId="9" borderId="1" xfId="0" applyFont="1" applyFill="1" applyBorder="1" applyAlignment="1">
      <alignment horizontal="center" vertical="center" wrapText="1"/>
    </xf>
    <xf numFmtId="0" fontId="21" fillId="0" borderId="24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164" fontId="21" fillId="0" borderId="7" xfId="1" applyNumberFormat="1" applyFont="1" applyBorder="1" applyAlignment="1">
      <alignment horizontal="center" vertical="center" wrapText="1"/>
    </xf>
    <xf numFmtId="164" fontId="21" fillId="0" borderId="1" xfId="1" applyNumberFormat="1" applyFont="1" applyBorder="1" applyAlignment="1">
      <alignment horizontal="center" vertical="center" wrapText="1"/>
    </xf>
    <xf numFmtId="164" fontId="21" fillId="0" borderId="43" xfId="1" applyNumberFormat="1" applyFont="1" applyBorder="1" applyAlignment="1">
      <alignment horizontal="center" vertical="center" wrapText="1"/>
    </xf>
    <xf numFmtId="164" fontId="21" fillId="0" borderId="10" xfId="1" applyNumberFormat="1" applyFont="1" applyBorder="1" applyAlignment="1">
      <alignment horizontal="center" vertical="center" wrapText="1"/>
    </xf>
    <xf numFmtId="164" fontId="21" fillId="0" borderId="8" xfId="1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164" fontId="21" fillId="0" borderId="11" xfId="1" applyNumberFormat="1" applyFont="1" applyBorder="1" applyAlignment="1">
      <alignment horizontal="center" vertical="center" wrapText="1"/>
    </xf>
    <xf numFmtId="164" fontId="21" fillId="0" borderId="3" xfId="1" applyNumberFormat="1" applyFont="1" applyBorder="1" applyAlignment="1">
      <alignment horizontal="center" vertical="center" wrapText="1"/>
    </xf>
    <xf numFmtId="0" fontId="19" fillId="8" borderId="28" xfId="0" applyFont="1" applyFill="1" applyBorder="1" applyAlignment="1">
      <alignment horizontal="center" vertical="center" wrapText="1"/>
    </xf>
    <xf numFmtId="0" fontId="19" fillId="8" borderId="29" xfId="0" applyFont="1" applyFill="1" applyBorder="1" applyAlignment="1">
      <alignment horizontal="center" vertical="center" wrapText="1"/>
    </xf>
    <xf numFmtId="0" fontId="19" fillId="8" borderId="30" xfId="0" applyFont="1" applyFill="1" applyBorder="1" applyAlignment="1">
      <alignment horizontal="center" vertical="center" wrapText="1"/>
    </xf>
    <xf numFmtId="0" fontId="22" fillId="9" borderId="28" xfId="0" applyFont="1" applyFill="1" applyBorder="1" applyAlignment="1">
      <alignment horizontal="center" vertical="center" wrapText="1"/>
    </xf>
    <xf numFmtId="0" fontId="22" fillId="9" borderId="29" xfId="0" applyFont="1" applyFill="1" applyBorder="1" applyAlignment="1">
      <alignment horizontal="center" vertical="center" wrapText="1"/>
    </xf>
    <xf numFmtId="0" fontId="22" fillId="9" borderId="30" xfId="0" applyFont="1" applyFill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11" borderId="28" xfId="0" applyFont="1" applyFill="1" applyBorder="1" applyAlignment="1">
      <alignment horizontal="center" vertical="center" wrapText="1"/>
    </xf>
    <xf numFmtId="0" fontId="23" fillId="11" borderId="29" xfId="0" applyFont="1" applyFill="1" applyBorder="1" applyAlignment="1">
      <alignment horizontal="center" vertical="center" wrapText="1"/>
    </xf>
    <xf numFmtId="0" fontId="23" fillId="11" borderId="30" xfId="0" applyFont="1" applyFill="1" applyBorder="1" applyAlignment="1">
      <alignment horizontal="center" vertical="center" wrapText="1"/>
    </xf>
    <xf numFmtId="0" fontId="23" fillId="11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3" fillId="8" borderId="28" xfId="0" applyFont="1" applyFill="1" applyBorder="1" applyAlignment="1">
      <alignment horizontal="center" vertical="center" wrapText="1"/>
    </xf>
    <xf numFmtId="0" fontId="33" fillId="8" borderId="29" xfId="0" applyFont="1" applyFill="1" applyBorder="1" applyAlignment="1">
      <alignment horizontal="center" vertical="center" wrapText="1"/>
    </xf>
    <xf numFmtId="0" fontId="35" fillId="9" borderId="1" xfId="0" applyFont="1" applyFill="1" applyBorder="1" applyAlignment="1">
      <alignment horizontal="center" vertical="center" wrapText="1"/>
    </xf>
    <xf numFmtId="0" fontId="31" fillId="8" borderId="28" xfId="0" applyFont="1" applyFill="1" applyBorder="1" applyAlignment="1">
      <alignment horizontal="center" vertical="center" wrapText="1"/>
    </xf>
    <xf numFmtId="0" fontId="31" fillId="8" borderId="29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3" fillId="3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6" fillId="0" borderId="20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14" fontId="9" fillId="4" borderId="2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7" fillId="2" borderId="1" xfId="0" applyFont="1" applyFill="1" applyBorder="1" applyAlignment="1">
      <alignment horizontal="center" vertical="center"/>
    </xf>
  </cellXfs>
  <cellStyles count="3">
    <cellStyle name="Milliers" xfId="1" builtinId="3"/>
    <cellStyle name="Normal" xfId="0" builtinId="0"/>
    <cellStyle name="Pourcentage" xfId="2" builtinId="5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22" formatCode="mmm\-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styles" Target="styles.xml"/><Relationship Id="rId27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fr-FR"/>
              <a:t>EVOLUTION DES CREANCES CLIENTS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'CARNET DE CMDE'!$F$6</c:f>
              <c:strCache>
                <c:ptCount val="1"/>
                <c:pt idx="0">
                  <c:v>Montant facturé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'CARNET DE CMDE'!$B$16:$B$27</c:f>
              <c:strCache>
                <c:ptCount val="12"/>
                <c:pt idx="0">
                  <c:v>ADEOTI</c:v>
                </c:pt>
                <c:pt idx="1">
                  <c:v>BOTINZA</c:v>
                </c:pt>
                <c:pt idx="2">
                  <c:v>CITES ADM LOT 1</c:v>
                </c:pt>
                <c:pt idx="3">
                  <c:v>CITES ADM LOT 2</c:v>
                </c:pt>
                <c:pt idx="4">
                  <c:v>MATIERE</c:v>
                </c:pt>
                <c:pt idx="5">
                  <c:v>SOUS TRAITANCE SETEC</c:v>
                </c:pt>
                <c:pt idx="6">
                  <c:v>CONOCO</c:v>
                </c:pt>
                <c:pt idx="7">
                  <c:v>NATIVE HOTEL</c:v>
                </c:pt>
                <c:pt idx="8">
                  <c:v>JULIUS BERGER</c:v>
                </c:pt>
                <c:pt idx="9">
                  <c:v>DREAM BEACH</c:v>
                </c:pt>
                <c:pt idx="10">
                  <c:v>PRISON CIVILE DE OUEDO</c:v>
                </c:pt>
                <c:pt idx="11">
                  <c:v>PMO MATIERE</c:v>
                </c:pt>
              </c:strCache>
            </c:strRef>
          </c:cat>
          <c:val>
            <c:numRef>
              <c:f>'CARNET DE CMDE'!$F$16:$F$27</c:f>
              <c:numCache>
                <c:formatCode>_-* #\ ##0_-;\-* #\ ##0_-;_-* "-"??_-;_-@_-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857C-4443-B219-7483CF8A1DC9}"/>
            </c:ext>
          </c:extLst>
        </c:ser>
        <c:ser>
          <c:idx val="1"/>
          <c:order val="1"/>
          <c:tx>
            <c:strRef>
              <c:f>'CARNET DE CMDE'!$H$6</c:f>
              <c:strCache>
                <c:ptCount val="1"/>
                <c:pt idx="0">
                  <c:v>Montant encaissé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'CARNET DE CMDE'!$B$16:$B$27</c:f>
              <c:strCache>
                <c:ptCount val="12"/>
                <c:pt idx="0">
                  <c:v>ADEOTI</c:v>
                </c:pt>
                <c:pt idx="1">
                  <c:v>BOTINZA</c:v>
                </c:pt>
                <c:pt idx="2">
                  <c:v>CITES ADM LOT 1</c:v>
                </c:pt>
                <c:pt idx="3">
                  <c:v>CITES ADM LOT 2</c:v>
                </c:pt>
                <c:pt idx="4">
                  <c:v>MATIERE</c:v>
                </c:pt>
                <c:pt idx="5">
                  <c:v>SOUS TRAITANCE SETEC</c:v>
                </c:pt>
                <c:pt idx="6">
                  <c:v>CONOCO</c:v>
                </c:pt>
                <c:pt idx="7">
                  <c:v>NATIVE HOTEL</c:v>
                </c:pt>
                <c:pt idx="8">
                  <c:v>JULIUS BERGER</c:v>
                </c:pt>
                <c:pt idx="9">
                  <c:v>DREAM BEACH</c:v>
                </c:pt>
                <c:pt idx="10">
                  <c:v>PRISON CIVILE DE OUEDO</c:v>
                </c:pt>
                <c:pt idx="11">
                  <c:v>PMO MATIERE</c:v>
                </c:pt>
              </c:strCache>
            </c:strRef>
          </c:cat>
          <c:val>
            <c:numRef>
              <c:f>'CARNET DE CMDE'!$H$16:$H$27</c:f>
              <c:numCache>
                <c:formatCode>_-* #\ ##0_-;\-* #\ ##0_-;_-* "-"??_-;_-@_-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857C-4443-B219-7483CF8A1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5541152"/>
        <c:axId val="445536832"/>
      </c:barChart>
      <c:lineChart>
        <c:grouping val="standard"/>
        <c:varyColors val="0"/>
        <c:ser>
          <c:idx val="2"/>
          <c:order val="2"/>
          <c:tx>
            <c:strRef>
              <c:f>'CARNET DE CMDE'!$I$6</c:f>
              <c:strCache>
                <c:ptCount val="1"/>
                <c:pt idx="0">
                  <c:v>Reste à encaisser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'CARNET DE CMDE'!$B$16:$B$27</c:f>
              <c:strCache>
                <c:ptCount val="12"/>
                <c:pt idx="0">
                  <c:v>ADEOTI</c:v>
                </c:pt>
                <c:pt idx="1">
                  <c:v>BOTINZA</c:v>
                </c:pt>
                <c:pt idx="2">
                  <c:v>CITES ADM LOT 1</c:v>
                </c:pt>
                <c:pt idx="3">
                  <c:v>CITES ADM LOT 2</c:v>
                </c:pt>
                <c:pt idx="4">
                  <c:v>MATIERE</c:v>
                </c:pt>
                <c:pt idx="5">
                  <c:v>SOUS TRAITANCE SETEC</c:v>
                </c:pt>
                <c:pt idx="6">
                  <c:v>CONOCO</c:v>
                </c:pt>
                <c:pt idx="7">
                  <c:v>NATIVE HOTEL</c:v>
                </c:pt>
                <c:pt idx="8">
                  <c:v>JULIUS BERGER</c:v>
                </c:pt>
                <c:pt idx="9">
                  <c:v>DREAM BEACH</c:v>
                </c:pt>
                <c:pt idx="10">
                  <c:v>PRISON CIVILE DE OUEDO</c:v>
                </c:pt>
                <c:pt idx="11">
                  <c:v>PMO MATIERE</c:v>
                </c:pt>
              </c:strCache>
            </c:strRef>
          </c:cat>
          <c:val>
            <c:numRef>
              <c:f>'CARNET DE CMDE'!$I$16:$I$27</c:f>
              <c:numCache>
                <c:formatCode>_-* #\ ##0_-;\-* #\ ##0_-;_-* "-"??_-;_-@_-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7C-4443-B219-7483CF8A1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541152"/>
        <c:axId val="445536832"/>
      </c:lineChart>
      <c:catAx>
        <c:axId val="445541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5536832"/>
        <c:crosses val="autoZero"/>
        <c:auto val="1"/>
        <c:lblAlgn val="ctr"/>
        <c:lblOffset val="100"/>
        <c:noMultiLvlLbl val="0"/>
      </c:catAx>
      <c:valAx>
        <c:axId val="445536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5541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733425</xdr:colOff>
      <xdr:row>1</xdr:row>
      <xdr:rowOff>131445</xdr:rowOff>
    </xdr:from>
    <xdr:to>
      <xdr:col>19</xdr:col>
      <xdr:colOff>596265</xdr:colOff>
      <xdr:row>15</xdr:row>
      <xdr:rowOff>19050</xdr:rowOff>
    </xdr:to>
    <xdr:graphicFrame macro="">
      <xdr:nvGraphicFramePr>
        <xdr:cNvPr id="4" name="Graphique 1">
          <a:extLst>
            <a:ext uri="{FF2B5EF4-FFF2-40B4-BE49-F238E27FC236}">
              <a16:creationId xmlns:a16="http://schemas.microsoft.com/office/drawing/2014/main" id="{5C6EE7E2-34ED-168C-2871-CD736D12C56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329294</xdr:colOff>
      <xdr:row>1</xdr:row>
      <xdr:rowOff>219075</xdr:rowOff>
    </xdr:from>
    <xdr:to>
      <xdr:col>2</xdr:col>
      <xdr:colOff>466725</xdr:colOff>
      <xdr:row>2</xdr:row>
      <xdr:rowOff>361950</xdr:rowOff>
    </xdr:to>
    <xdr:pic>
      <xdr:nvPicPr>
        <xdr:cNvPr id="2" name="Image 1" descr="Cabinet d'ingénierie et management de projet | SDP">
          <a:extLst>
            <a:ext uri="{FF2B5EF4-FFF2-40B4-BE49-F238E27FC236}">
              <a16:creationId xmlns:a16="http://schemas.microsoft.com/office/drawing/2014/main" id="{4408B109-D8ED-4156-8863-31E383EA8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269" y="419100"/>
          <a:ext cx="1861456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329294</xdr:colOff>
      <xdr:row>1</xdr:row>
      <xdr:rowOff>219075</xdr:rowOff>
    </xdr:from>
    <xdr:to>
      <xdr:col>2</xdr:col>
      <xdr:colOff>466725</xdr:colOff>
      <xdr:row>2</xdr:row>
      <xdr:rowOff>361950</xdr:rowOff>
    </xdr:to>
    <xdr:pic>
      <xdr:nvPicPr>
        <xdr:cNvPr id="4" name="Image 3" descr="Cabinet d'ingénierie et management de projet | SDP">
          <a:extLst>
            <a:ext uri="{FF2B5EF4-FFF2-40B4-BE49-F238E27FC236}">
              <a16:creationId xmlns:a16="http://schemas.microsoft.com/office/drawing/2014/main" id="{4258C9D5-8D3B-42C4-940D-E0F1BBF21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269" y="419100"/>
          <a:ext cx="1861456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odette_ouensou_sdpgroupe_com/Documents/Bureau/DOSSIER%20DE%20TRAVAIL%202023/SDP%20FICHIER%20CAISSE%20ET%20BANQUE%202023/DG/BUDGET/20230930_SUIVI%20Budget%20COVE%20BEACH_OO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dpgroupe.sharepoint.com/sites/SERVICEFINANCIER2-SUIVIBUDGETADEOTI/Documents%20partages/Suivi%20budget%20Projet%20ADEOTI/2024/20240101_SUIVI%20Budget%20Projet%20%20ADEOTI_O1.xlsx" TargetMode="External"/><Relationship Id="rId1" Type="http://schemas.openxmlformats.org/officeDocument/2006/relationships/externalLinkPath" Target="/sites/SERVICEFINANCIER2-SUIVIBUDGETADEOTI/Documents%20partages/Suivi%20budget%20Projet%20ADEOTI/2024/20240101_SUIVI%20Budget%20Projet%20%20ADEOTI_O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/sites/SERVICEFINANCIER2-SuivibudgetProjetBohiconTindjiZakpota/Documents%20partages/Suivi%20budget%20Projet%20Bohicon%20Tindji%20Zakpota/20231002_SUIVI%20Budget%20Projet%20Bohicon%20Tindji%20Zakpota_OO%20REV%20juin.xlsx?6112D4BF" TargetMode="External"/><Relationship Id="rId1" Type="http://schemas.openxmlformats.org/officeDocument/2006/relationships/externalLinkPath" Target="file:///\\6112D4BF\20231002_SUIVI%20Budget%20Projet%20Bohicon%20Tindji%20Zakpota_OO%20REV%20juin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dpgroupe-my.sharepoint.com/personal/odette_ouensou_sdpgroupe_com/Documents/Bureau/DOSSIER%20DE%20TRAVAIL%202025/SDP/POINT%20DE%20LA%20TRESORERIE/20250106_POINT%20TRESORERIE%20_OO.xlsx" TargetMode="External"/><Relationship Id="rId1" Type="http://schemas.openxmlformats.org/officeDocument/2006/relationships/externalLinkPath" Target="/personal/odette_ouensou_sdpgroupe_com/Documents/Bureau/DOSSIER%20DE%20TRAVAIL%202025/SDP/POINT%20DE%20LA%20TRESORERIE/20250106_POINT%20TRESORERIE%20_OO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dpgroupe.sharepoint.com/sites/SERVICEFINANCIER2-SUIVIBUDGETADEOTI/Documents%20partages/Suivi%20budget%20Projet%20ADEOTI/2024/20240101_SUIVI%20Budget%20Projet%20%20ADEOTI_O1.xlsx" TargetMode="External"/><Relationship Id="rId1" Type="http://schemas.openxmlformats.org/officeDocument/2006/relationships/externalLinkPath" Target="https://sdpgroupe.sharepoint.com/sites/SERVICEFINANCIER2-SUIVIBUDGETADEOTI/Documents%20partages/Suivi%20budget%20Projet%20ADEOTI/2024/20240101_SUIVI%20Budget%20Projet%20%20ADEOTI_O1.xlsx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dpgroupe.sharepoint.com/sites/SERVICEFINANCIER2-SuivibudgetProjetBohiconTindjiZakpota/Documents%20partages/Suivi%20budget%20Projet%20Bohicon%20Tindji%20Zakpota/20231002_SUIVI%20Budget%20Projet%20Bohicon%20Tindji%20Zakpota_OO%20REV%20juin.xlsx" TargetMode="External"/><Relationship Id="rId2" Type="http://schemas.microsoft.com/office/2019/04/relationships/externalLinkLongPath" Target="https://sdpgroupe.sharepoint.com/sites/SERVICEFINANCIER2-SuivibudgetProjetBohiconTindjiZakpota/Documents%20partages/Suivi%20budget%20Projet%20Bohicon%20Tindji%20Zakpota/20231002_SUIVI%20Budget%20Projet%20Bohicon%20Tindji%20Zakpota_OO%20REV%20juin.xlsx?8B416A87" TargetMode="External"/><Relationship Id="rId1" Type="http://schemas.openxmlformats.org/officeDocument/2006/relationships/externalLinkPath" Target="file:///\\8B416A87\20231002_SUIVI%20Budget%20Projet%20Bohicon%20Tindji%20Zakpota_OO%20REV%20ju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E "/>
      <sheetName val="BUDGET COVE BEACH"/>
      <sheetName val="A REPORTER"/>
      <sheetName val="ECHEANCIER AVANCE"/>
      <sheetName val="MAI"/>
      <sheetName val="JUIN"/>
      <sheetName val="JUILLET"/>
      <sheetName val="AOUT "/>
      <sheetName val="SEPTEMBRE"/>
      <sheetName val="20230930_SUIVI Budget COVE BEAC"/>
      <sheetName val="OCTOBRE"/>
    </sheetNames>
    <sheetDataSet>
      <sheetData sheetId="0"/>
      <sheetData sheetId="1">
        <row r="80">
          <cell r="G80">
            <v>44550497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E"/>
      <sheetName val="CELLULE ADEOTI"/>
      <sheetName val="POINT BUDGETAIRE"/>
      <sheetName val="DONNEES"/>
      <sheetName val="POINT BUDGETAIRE1"/>
      <sheetName val="ANALYSE GRAPHIQUE GENERALE"/>
      <sheetName val="SUIVI CHIFFRE D'AFFAIRES"/>
      <sheetName val="BUDGET"/>
      <sheetName val="Feuil1"/>
      <sheetName val="ANALYTIQUE 2024"/>
      <sheetName val="ANALYTIQUE 202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16">
          <cell r="H116">
            <v>693386525</v>
          </cell>
        </row>
      </sheetData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e"/>
      <sheetName val="SUIVI CHIFFRE D'AFFAIRES"/>
      <sheetName val="REVUE CE 27 JUIN"/>
      <sheetName val="ANALYTIQUE ANNEE 2023"/>
      <sheetName val="ANALYTIQUE ANNEE 2024"/>
      <sheetName val="ANALYTIQUE ANNEE 2025"/>
    </sheetNames>
    <sheetDataSet>
      <sheetData sheetId="0" refreshError="1"/>
      <sheetData sheetId="1" refreshError="1"/>
      <sheetData sheetId="2" refreshError="1">
        <row r="65">
          <cell r="F65">
            <v>182030000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E"/>
      <sheetName val="RECAPITULATIFS"/>
      <sheetName val="Nouv mise en place"/>
      <sheetName val="100 millions"/>
      <sheetName val="77 millions"/>
      <sheetName val="Récapitulatif"/>
      <sheetName val="Feuil2"/>
      <sheetName val="REGLEMENT"/>
      <sheetName val="PLAN DE REMBOURSEMENT"/>
      <sheetName val="PRELEVEMENT AUTOMATIQUE"/>
      <sheetName val="REMUNERATION PERSONNEL"/>
      <sheetName val="Etat des besoins BIIC"/>
      <sheetName val="DETTES FOURNISSEURS A DATE"/>
      <sheetName val="IMPÔTS"/>
    </sheetNames>
    <sheetDataSet>
      <sheetData sheetId="0"/>
      <sheetData sheetId="1">
        <row r="7">
          <cell r="G7">
            <v>465925</v>
          </cell>
        </row>
        <row r="8">
          <cell r="G8">
            <v>38675262.550000012</v>
          </cell>
        </row>
        <row r="9">
          <cell r="G9">
            <v>352056117</v>
          </cell>
        </row>
        <row r="10">
          <cell r="G10">
            <v>240354764</v>
          </cell>
        </row>
        <row r="13">
          <cell r="E13">
            <v>35000000</v>
          </cell>
        </row>
        <row r="14">
          <cell r="E14">
            <v>213252378.95454544</v>
          </cell>
        </row>
        <row r="15">
          <cell r="E15">
            <v>311836924</v>
          </cell>
        </row>
        <row r="16">
          <cell r="E16">
            <v>24288588.43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E"/>
      <sheetName val="CELLULE ADEOTI"/>
      <sheetName val="POINT BUDGETAIRE"/>
      <sheetName val="DONNEES"/>
      <sheetName val="POINT BUDGETAIRE1"/>
      <sheetName val="ANALYSE GRAPHIQUE GENERALE"/>
      <sheetName val="SUIVI CHIFFRE D'AFFAIRES"/>
      <sheetName val="BUDGET"/>
      <sheetName val="Feuil1"/>
      <sheetName val="TCD"/>
      <sheetName val="ANALYTIQUE 2024"/>
      <sheetName val="ANALYTIQUE 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17">
          <cell r="H117">
            <v>693386525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liste"/>
      <sheetName val="SUIVI CHIFFRE D'AFFAIRES"/>
      <sheetName val="REVUE CE 27 JUIN"/>
      <sheetName val="TCD"/>
      <sheetName val="ANALYTIQUE ANNEE 2023"/>
      <sheetName val="ANALYTIQUE ANNEE 2024"/>
      <sheetName val="ANALYTIQUE ANNEE 2025"/>
    </sheetNames>
    <sheetDataSet>
      <sheetData sheetId="0"/>
      <sheetData sheetId="1"/>
      <sheetData sheetId="2">
        <row r="66">
          <cell r="F66">
            <v>182030000</v>
          </cell>
        </row>
      </sheetData>
      <sheetData sheetId="3"/>
      <sheetData sheetId="4"/>
      <sheetData sheetId="5"/>
      <sheetData sheetId="6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dette OUENSOU" refreshedDate="45604.496733564818" createdVersion="8" refreshedVersion="8" minRefreshableVersion="3" recordCount="73" xr:uid="{DBF41FFC-AEB0-464F-9FCF-B58D7AB2E32C}">
  <cacheSource type="worksheet">
    <worksheetSource ref="B5:F5" sheet="ETAT DES FACTURATIONS GLOBA (2)"/>
  </cacheSource>
  <cacheFields count="17">
    <cacheField name="NUMERO AFFAIRE" numFmtId="0">
      <sharedItems count="22">
        <s v="AFFAIREAF001_x000a_SImAU"/>
        <s v="AFFAIREAF002_x000a_OFMAS"/>
        <s v="AFFAIREAF003_x000a_EGBTP 1"/>
        <s v="AFFAIREAF003_x000a_EGBTP 2"/>
        <s v="AFFAIREAF004_x000a_CFAO"/>
        <s v="AFFAIREAF005_x000a_SCB-LAFARGE"/>
        <s v="AFFAIREAF012_x000a_DREAM BEACH"/>
        <s v="AFFAIREAF013_x000a_ADEOTI"/>
        <s v="AFFAIREAF014_x000a_BOTINZA"/>
        <s v="AFFAIREAF015_x000a_CITES ADM LOT 1"/>
        <s v="AFFAIREAF015_x000a_CITES ADM LOT 2"/>
        <s v="AFFAIREAF015_x000a_CITES ADM LOT 3"/>
        <s v="AFFAIREAF015_x000a_CITES ADM LOT 4"/>
        <s v="AFFAIREAF015_x000a_CITES ADM LOT 5"/>
        <s v="AFFAIREAF015_x000a_CITES ADM LOT 6"/>
        <s v="AFFAIREAF015_x000a_CITES ADM LOT 7"/>
        <s v="AFFAIREAF016_x000a_MATIERE BENIN"/>
        <s v="AFFAIREAF017_x000a_AGIRE"/>
        <s v="SETEC SOUS TRAITANCE"/>
        <s v="AFFAIREAF018_x000a_CONOCO"/>
        <s v="AFFAIREAF019_x000a_NATIVE HOTEL"/>
        <s v="AFFAIREAF020_x000a_PRISON CIVILE OUEDO"/>
      </sharedItems>
    </cacheField>
    <cacheField name="N° FACTURE " numFmtId="0">
      <sharedItems containsBlank="1" count="72">
        <s v="010-22"/>
        <s v="012-22"/>
        <s v="001-23"/>
        <s v="013-22"/>
        <s v="008-22"/>
        <s v="014-22"/>
        <s v="005-23"/>
        <s v="015-22"/>
        <s v="002/23"/>
        <s v="007-23"/>
        <s v="016-22"/>
        <s v="004-23"/>
        <s v="006-23"/>
        <s v="017-22"/>
        <s v="008-23"/>
        <s v="010-23"/>
        <s v="011-23"/>
        <s v="013-23"/>
        <s v="015-23"/>
        <s v="022-23"/>
        <s v="025-23"/>
        <s v="027-23"/>
        <s v="002-24"/>
        <s v="009-23"/>
        <s v="019-23"/>
        <s v="020-23"/>
        <s v="021-23"/>
        <s v="023-23"/>
        <s v="024-23"/>
        <s v="026-23"/>
        <s v="001-24"/>
        <s v="003-24"/>
        <s v="004-24"/>
        <s v="005-24"/>
        <s v="009-24"/>
        <s v="010-24"/>
        <s v="028/24"/>
        <s v="033/24"/>
        <s v="037/24"/>
        <s v="046/24"/>
        <s v="006-24"/>
        <s v="011-24"/>
        <s v="012-24"/>
        <s v="013-24"/>
        <s v="014-24"/>
        <s v="015-24"/>
        <s v="023-24"/>
        <s v="027-24"/>
        <s v="031/24"/>
        <s v="007-24"/>
        <s v="019-24"/>
        <s v="022-24"/>
        <s v="024-24"/>
        <s v="030-24"/>
        <s v="036-24"/>
        <s v="040/24"/>
        <s v="043/24"/>
        <s v="044/24"/>
        <s v="018-24"/>
        <s v="021-24"/>
        <s v="025-24"/>
        <s v="029-24"/>
        <s v="035/24"/>
        <s v="026-24"/>
        <s v="039/24"/>
        <s v="032/24"/>
        <s v="034/24"/>
        <s v="038/24"/>
        <s v="047/24"/>
        <s v="041/24"/>
        <s v="042/24"/>
        <m/>
      </sharedItems>
    </cacheField>
    <cacheField name="MOIS" numFmtId="0">
      <sharedItems containsDate="1" containsBlank="1" containsMixedTypes="1" minDate="2022-09-01T00:00:00" maxDate="2024-10-02T00:00:00"/>
    </cacheField>
    <cacheField name="DATE FACTURATION" numFmtId="0">
      <sharedItems containsNonDate="0" containsDate="1" containsString="0" containsBlank="1" minDate="2022-09-02T00:00:00" maxDate="2024-10-26T00:00:00"/>
    </cacheField>
    <cacheField name="DATE DEPÔT FACTURE" numFmtId="0">
      <sharedItems containsNonDate="0" containsDate="1" containsString="0" containsBlank="1" minDate="2022-09-02T00:00:00" maxDate="2024-11-05T00:00:00"/>
    </cacheField>
    <cacheField name="DATE DE REGLEMENT" numFmtId="0">
      <sharedItems containsNonDate="0" containsDate="1" containsString="0" containsBlank="1" minDate="2022-07-19T00:00:00" maxDate="2024-11-08T00:00:00"/>
    </cacheField>
    <cacheField name="MONTANT BRUT HTVA" numFmtId="164">
      <sharedItems containsString="0" containsBlank="1" containsNumber="1" containsInteger="1" minValue="2100000" maxValue="265546395"/>
    </cacheField>
    <cacheField name="TVA" numFmtId="164">
      <sharedItems containsString="0" containsBlank="1" containsNumber="1" minValue="0" maxValue="47798351.100000001"/>
    </cacheField>
    <cacheField name="AIB" numFmtId="164">
      <sharedItems containsString="0" containsBlank="1" containsNumber="1" minValue="-3884539.1999999997" maxValue="0"/>
    </cacheField>
    <cacheField name="MONTANT NET HT " numFmtId="164">
      <sharedItems containsString="0" containsBlank="1" containsNumber="1" minValue="2037000" maxValue="265546395"/>
    </cacheField>
    <cacheField name="MONTANT NET TTC A PAYER " numFmtId="164">
      <sharedItems containsString="0" containsBlank="1" containsNumber="1" minValue="2415000" maxValue="313344746.10000002"/>
    </cacheField>
    <cacheField name="MONTANT TTC _x000a_ENCAISSE " numFmtId="164">
      <sharedItems containsString="0" containsBlank="1" containsNumber="1" containsInteger="1" minValue="0" maxValue="313344746"/>
    </cacheField>
    <cacheField name="MONTANT NET HT ENCAISSE" numFmtId="164">
      <sharedItems containsString="0" containsBlank="1" containsNumber="1" minValue="0" maxValue="265546394.90000001"/>
    </cacheField>
    <cacheField name="RESTANT DÛ TTC / FACTURE" numFmtId="164">
      <sharedItems containsString="0" containsBlank="1" containsNumber="1" minValue="-5606741.799999997" maxValue="237540701.82600001"/>
    </cacheField>
    <cacheField name="RESTANT DÛ REEL NET TTC" numFmtId="164">
      <sharedItems containsString="0" containsBlank="1" containsNumber="1" minValue="-9900000" maxValue="237540701.82600001"/>
    </cacheField>
    <cacheField name="RESTANT DÛ NET HT" numFmtId="164">
      <sharedItems containsString="0" containsBlank="1" containsNumber="1" minValue="-9900000" maxValue="214176042.63"/>
    </cacheField>
    <cacheField name="DELAI DE PAIEMENT" numFmtId="0">
      <sharedItems containsNonDate="0" containsDate="1" containsString="0" containsBlank="1" minDate="2022-10-02T00:00:00" maxDate="2024-12-05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3">
  <r>
    <x v="0"/>
    <x v="0"/>
    <s v=" Avance de démarrage"/>
    <d v="2022-09-22T00:00:00"/>
    <d v="2022-09-22T00:00:00"/>
    <d v="2022-10-04T00:00:00"/>
    <n v="7422000"/>
    <n v="1335960"/>
    <n v="-222660"/>
    <n v="7199340"/>
    <n v="8535300"/>
    <n v="8757960"/>
    <n v="7422000"/>
    <n v="-222660"/>
    <n v="-222660"/>
    <n v="-222660"/>
    <d v="2022-10-22T00:00:00"/>
  </r>
  <r>
    <x v="0"/>
    <x v="1"/>
    <d v="2022-10-01T00:00:00"/>
    <d v="2022-10-28T00:00:00"/>
    <d v="2022-10-28T00:00:00"/>
    <d v="2023-02-14T00:00:00"/>
    <n v="9896000"/>
    <n v="1781280"/>
    <n v="-296880"/>
    <n v="9599120"/>
    <n v="11380400"/>
    <n v="11380400"/>
    <n v="9599120"/>
    <n v="0"/>
    <n v="0"/>
    <n v="0"/>
    <d v="2022-11-27T00:00:00"/>
  </r>
  <r>
    <x v="0"/>
    <x v="2"/>
    <d v="2023-02-01T00:00:00"/>
    <d v="2023-02-27T00:00:00"/>
    <d v="2023-02-27T00:00:00"/>
    <d v="2023-04-06T00:00:00"/>
    <n v="7422000"/>
    <n v="1335960"/>
    <n v="-222660"/>
    <n v="7199340"/>
    <n v="8535300"/>
    <n v="8535300"/>
    <n v="7199340"/>
    <n v="0"/>
    <n v="0"/>
    <n v="0"/>
    <d v="2023-03-29T00:00:00"/>
  </r>
  <r>
    <x v="1"/>
    <x v="3"/>
    <s v=" Avance de démarrage"/>
    <d v="2022-11-14T00:00:00"/>
    <d v="2022-11-14T00:00:00"/>
    <d v="2022-07-19T00:00:00"/>
    <n v="7500000"/>
    <n v="1350000"/>
    <n v="-225000"/>
    <n v="7275000"/>
    <n v="8625000"/>
    <n v="8625000"/>
    <n v="7275000"/>
    <n v="0"/>
    <n v="0"/>
    <n v="0"/>
    <d v="2022-12-14T00:00:00"/>
  </r>
  <r>
    <x v="1"/>
    <x v="4"/>
    <d v="2022-09-01T00:00:00"/>
    <d v="2022-09-02T00:00:00"/>
    <d v="2022-09-02T00:00:00"/>
    <d v="2022-11-30T00:00:00"/>
    <n v="8750000"/>
    <n v="1575000"/>
    <n v="-262500"/>
    <n v="8487500"/>
    <n v="10062500"/>
    <n v="10062500"/>
    <n v="8487500"/>
    <n v="0"/>
    <n v="0"/>
    <n v="0"/>
    <d v="2022-10-02T00:00:00"/>
  </r>
  <r>
    <x v="1"/>
    <x v="5"/>
    <d v="2022-11-01T00:00:00"/>
    <d v="2022-11-14T00:00:00"/>
    <d v="2022-11-14T00:00:00"/>
    <d v="2022-12-13T00:00:00"/>
    <n v="8750000"/>
    <n v="1575000"/>
    <n v="-262500"/>
    <n v="8487500"/>
    <n v="10062500"/>
    <n v="10062500"/>
    <n v="8487500"/>
    <n v="0"/>
    <n v="0"/>
    <n v="0"/>
    <d v="2022-12-14T00:00:00"/>
  </r>
  <r>
    <x v="1"/>
    <x v="6"/>
    <d v="2023-04-01T00:00:00"/>
    <d v="2023-04-20T00:00:00"/>
    <d v="2023-04-20T00:00:00"/>
    <d v="2023-05-26T00:00:00"/>
    <n v="8500000"/>
    <n v="1530000"/>
    <n v="-255000"/>
    <n v="8245000"/>
    <n v="9775000"/>
    <n v="9775000"/>
    <n v="8245000"/>
    <n v="0"/>
    <n v="0"/>
    <n v="0"/>
    <d v="2023-05-20T00:00:00"/>
  </r>
  <r>
    <x v="2"/>
    <x v="7"/>
    <s v=" Avance de démarrage"/>
    <d v="2022-11-23T00:00:00"/>
    <d v="2023-01-20T00:00:00"/>
    <d v="2022-11-23T00:00:00"/>
    <n v="12000000"/>
    <n v="0"/>
    <n v="0"/>
    <n v="12000000"/>
    <n v="12000000"/>
    <n v="12000000"/>
    <n v="12000000"/>
    <n v="0"/>
    <n v="0"/>
    <n v="0"/>
    <d v="2023-02-19T00:00:00"/>
  </r>
  <r>
    <x v="3"/>
    <x v="8"/>
    <d v="2023-03-01T00:00:00"/>
    <d v="2023-03-08T00:00:00"/>
    <d v="2023-03-08T00:00:00"/>
    <d v="2023-03-30T00:00:00"/>
    <n v="28000000"/>
    <n v="0"/>
    <n v="0"/>
    <n v="28000000"/>
    <n v="28000000"/>
    <n v="28000000"/>
    <n v="28000000"/>
    <n v="0"/>
    <n v="0"/>
    <n v="0"/>
    <d v="2023-04-07T00:00:00"/>
  </r>
  <r>
    <x v="3"/>
    <x v="9"/>
    <s v=" Avance de démarrage"/>
    <d v="2023-05-08T00:00:00"/>
    <d v="2023-07-25T00:00:00"/>
    <m/>
    <n v="20664000"/>
    <m/>
    <m/>
    <n v="20664000"/>
    <n v="20664000"/>
    <n v="0"/>
    <n v="0"/>
    <n v="20664000"/>
    <n v="20664000"/>
    <n v="20664000"/>
    <m/>
  </r>
  <r>
    <x v="4"/>
    <x v="10"/>
    <s v=" Avance de démarrage"/>
    <d v="2022-12-05T00:00:00"/>
    <d v="2022-12-06T00:00:00"/>
    <d v="2022-12-15T00:00:00"/>
    <n v="6210000"/>
    <n v="1117800"/>
    <n v="-186300"/>
    <n v="6023700"/>
    <n v="7141500"/>
    <n v="7141500"/>
    <n v="6023700"/>
    <n v="0"/>
    <n v="0"/>
    <n v="0"/>
    <d v="2023-01-05T00:00:00"/>
  </r>
  <r>
    <x v="4"/>
    <x v="11"/>
    <d v="2023-03-01T00:00:00"/>
    <d v="2023-04-05T00:00:00"/>
    <d v="2023-04-05T00:00:00"/>
    <d v="2023-04-20T00:00:00"/>
    <n v="7245000"/>
    <n v="1304100"/>
    <n v="-217350"/>
    <n v="7027650"/>
    <n v="8331750"/>
    <n v="8331750"/>
    <n v="7027650"/>
    <n v="0"/>
    <n v="0"/>
    <n v="0"/>
    <d v="2023-05-05T00:00:00"/>
  </r>
  <r>
    <x v="4"/>
    <x v="12"/>
    <d v="2023-04-01T00:00:00"/>
    <d v="2023-04-20T00:00:00"/>
    <d v="2023-04-20T00:00:00"/>
    <d v="2023-05-08T00:00:00"/>
    <n v="7245000"/>
    <n v="1304100"/>
    <n v="-217350"/>
    <n v="7027650"/>
    <n v="8331750"/>
    <n v="8331750"/>
    <n v="7027650"/>
    <n v="0"/>
    <n v="0"/>
    <n v="0"/>
    <d v="2023-05-20T00:00:00"/>
  </r>
  <r>
    <x v="5"/>
    <x v="13"/>
    <d v="2022-12-01T00:00:00"/>
    <d v="2022-12-19T00:00:00"/>
    <d v="2022-12-22T00:00:00"/>
    <d v="2023-01-20T00:00:00"/>
    <n v="3300000"/>
    <n v="594000"/>
    <n v="-99000"/>
    <n v="3201000"/>
    <n v="3795000"/>
    <n v="3795000"/>
    <n v="3201000"/>
    <n v="0"/>
    <n v="0"/>
    <n v="0"/>
    <d v="2023-01-21T00:00:00"/>
  </r>
  <r>
    <x v="6"/>
    <x v="14"/>
    <s v=" Avance de démarrage"/>
    <d v="2023-06-06T00:00:00"/>
    <d v="2023-06-09T00:00:00"/>
    <d v="2023-11-13T00:00:00"/>
    <n v="17010310"/>
    <n v="3061855.8"/>
    <n v="-510309.3"/>
    <n v="16500000.699999999"/>
    <n v="19561856.5"/>
    <n v="16500000"/>
    <n v="16500000"/>
    <n v="3061856.5"/>
    <n v="-9900000"/>
    <n v="-9900000"/>
    <d v="2023-07-09T00:00:00"/>
  </r>
  <r>
    <x v="6"/>
    <x v="15"/>
    <d v="2023-06-01T00:00:00"/>
    <d v="2023-07-07T00:00:00"/>
    <d v="2023-07-20T00:00:00"/>
    <m/>
    <n v="7654640"/>
    <n v="1377835.2"/>
    <n v="-229639.19999999998"/>
    <n v="7425000.7999999998"/>
    <n v="8802836"/>
    <n v="0"/>
    <n v="0"/>
    <n v="8802836"/>
    <n v="7425000.7999999998"/>
    <n v="7425000.7999999998"/>
    <d v="2023-08-19T00:00:00"/>
  </r>
  <r>
    <x v="6"/>
    <x v="16"/>
    <d v="2023-07-01T00:00:00"/>
    <d v="2023-07-25T00:00:00"/>
    <d v="2023-07-26T00:00:00"/>
    <m/>
    <n v="7654640"/>
    <n v="1377835.2"/>
    <n v="-229639.19999999998"/>
    <n v="7425000.7999999998"/>
    <n v="8802836"/>
    <n v="0"/>
    <n v="0"/>
    <n v="8802836"/>
    <n v="7425000.7999999998"/>
    <n v="7425000.7999999998"/>
    <d v="2023-08-25T00:00:00"/>
  </r>
  <r>
    <x v="6"/>
    <x v="17"/>
    <d v="2023-08-01T00:00:00"/>
    <d v="2023-08-28T00:00:00"/>
    <d v="2023-09-14T00:00:00"/>
    <m/>
    <n v="7654640"/>
    <n v="1377835.2"/>
    <n v="-229639.19999999998"/>
    <n v="7425000.7999999998"/>
    <n v="8802836"/>
    <n v="0"/>
    <n v="0"/>
    <n v="8802836"/>
    <n v="7425000.7999999998"/>
    <n v="7425000.7999999998"/>
    <d v="2023-10-14T00:00:00"/>
  </r>
  <r>
    <x v="6"/>
    <x v="18"/>
    <d v="2023-09-01T00:00:00"/>
    <d v="2023-09-21T00:00:00"/>
    <d v="2023-10-05T00:00:00"/>
    <m/>
    <n v="7654640"/>
    <n v="1377835.2"/>
    <n v="-229639.19999999998"/>
    <n v="7425000.7999999998"/>
    <n v="8802836"/>
    <n v="0"/>
    <n v="0"/>
    <n v="8802836"/>
    <n v="7425000.7999999998"/>
    <n v="7425000.7999999998"/>
    <d v="2023-11-04T00:00:00"/>
  </r>
  <r>
    <x v="6"/>
    <x v="19"/>
    <d v="2023-10-01T00:00:00"/>
    <d v="2023-10-19T00:00:00"/>
    <d v="2023-10-25T00:00:00"/>
    <m/>
    <n v="7654640"/>
    <n v="1377835.2"/>
    <n v="-229639.19999999998"/>
    <n v="7425000.7999999998"/>
    <n v="8802836"/>
    <n v="0"/>
    <n v="0"/>
    <n v="8802836"/>
    <n v="7425000.7999999998"/>
    <n v="7425000.7999999998"/>
    <d v="2023-11-24T00:00:00"/>
  </r>
  <r>
    <x v="6"/>
    <x v="20"/>
    <d v="2023-11-01T00:00:00"/>
    <d v="2023-11-23T00:00:00"/>
    <d v="2023-11-30T00:00:00"/>
    <m/>
    <n v="7654640"/>
    <n v="1377835"/>
    <n v="-229639"/>
    <n v="7425001"/>
    <n v="8802836"/>
    <n v="0"/>
    <n v="0"/>
    <n v="8802836"/>
    <n v="7425001"/>
    <n v="7425001"/>
    <d v="2023-12-30T00:00:00"/>
  </r>
  <r>
    <x v="6"/>
    <x v="21"/>
    <d v="2023-12-01T00:00:00"/>
    <d v="2023-12-15T00:00:00"/>
    <d v="2023-12-19T00:00:00"/>
    <m/>
    <n v="7654640"/>
    <n v="1377835"/>
    <n v="-229639"/>
    <n v="7425001"/>
    <n v="8802836"/>
    <n v="0"/>
    <n v="0"/>
    <n v="8802836"/>
    <n v="7425001"/>
    <n v="7425001"/>
    <d v="2024-01-18T00:00:00"/>
  </r>
  <r>
    <x v="6"/>
    <x v="22"/>
    <d v="2024-01-01T00:00:00"/>
    <d v="2024-01-23T00:00:00"/>
    <d v="2024-01-25T00:00:00"/>
    <m/>
    <n v="7654640"/>
    <n v="1377835"/>
    <n v="-229639"/>
    <n v="7425001"/>
    <n v="8802836"/>
    <n v="0"/>
    <n v="0"/>
    <n v="8802836"/>
    <n v="7425001"/>
    <n v="7425001"/>
    <d v="2024-02-24T00:00:00"/>
  </r>
  <r>
    <x v="7"/>
    <x v="23"/>
    <s v=" Avance de démarrage"/>
    <d v="2023-06-14T00:00:00"/>
    <d v="2023-06-20T00:00:00"/>
    <d v="2023-07-06T00:00:00"/>
    <n v="265546395"/>
    <n v="47798351.100000001"/>
    <m/>
    <n v="265546395"/>
    <n v="313344746.10000002"/>
    <n v="313344746"/>
    <n v="265546394.90000001"/>
    <n v="0.10000002384185791"/>
    <n v="0.10000002384185791"/>
    <n v="0.10000002384185791"/>
    <d v="2023-07-20T00:00:00"/>
  </r>
  <r>
    <x v="7"/>
    <x v="24"/>
    <d v="2023-07-01T00:00:00"/>
    <d v="2023-10-11T00:00:00"/>
    <d v="2023-10-11T00:00:00"/>
    <d v="2023-10-13T00:00:00"/>
    <n v="42044846"/>
    <n v="7568072.2799999993"/>
    <n v="-1659665"/>
    <n v="40385181"/>
    <n v="47953253.280000001"/>
    <n v="47953253"/>
    <n v="40385180.719999999"/>
    <n v="0.2800000011920929"/>
    <n v="0.2800000011920929"/>
    <n v="0.2800000011920929"/>
    <d v="2023-11-10T00:00:00"/>
  </r>
  <r>
    <x v="7"/>
    <x v="25"/>
    <d v="2023-08-01T00:00:00"/>
    <d v="2023-10-11T00:00:00"/>
    <d v="2023-10-11T00:00:00"/>
    <d v="2023-10-13T00:00:00"/>
    <n v="42044846"/>
    <n v="7568072.2799999993"/>
    <n v="-1659665"/>
    <n v="40385181"/>
    <n v="47953253.280000001"/>
    <n v="47953253"/>
    <n v="40385180.719999999"/>
    <n v="0.2800000011920929"/>
    <n v="0.2800000011920929"/>
    <n v="0.2800000011920929"/>
    <d v="2023-11-10T00:00:00"/>
  </r>
  <r>
    <x v="7"/>
    <x v="26"/>
    <d v="2023-09-01T00:00:00"/>
    <d v="2023-10-11T00:00:00"/>
    <d v="2023-10-11T00:00:00"/>
    <d v="2023-10-13T00:00:00"/>
    <n v="42044846"/>
    <n v="7568072.2799999993"/>
    <n v="-1659665"/>
    <n v="40385181"/>
    <n v="47953253.280000001"/>
    <n v="47953253"/>
    <n v="40385180.719999999"/>
    <n v="0.2800000011920929"/>
    <n v="0.2800000011920929"/>
    <n v="0.2800000011920929"/>
    <d v="2023-11-10T00:00:00"/>
  </r>
  <r>
    <x v="7"/>
    <x v="27"/>
    <d v="2023-10-01T00:00:00"/>
    <d v="2023-10-19T00:00:00"/>
    <d v="2023-10-31T00:00:00"/>
    <d v="2023-11-30T00:00:00"/>
    <n v="42044846"/>
    <n v="7568072.2799999993"/>
    <n v="-1659665"/>
    <n v="40385181"/>
    <n v="47953253.280000001"/>
    <n v="47953253"/>
    <n v="40385180.719999999"/>
    <n v="0.2800000011920929"/>
    <n v="0.2800000011920929"/>
    <n v="0.2800000011920929"/>
    <d v="2023-11-30T00:00:00"/>
  </r>
  <r>
    <x v="7"/>
    <x v="28"/>
    <d v="2023-11-01T00:00:00"/>
    <d v="2023-11-23T00:00:00"/>
    <d v="2023-11-30T00:00:00"/>
    <d v="2024-01-11T00:00:00"/>
    <n v="42044846"/>
    <n v="7568072.2799999993"/>
    <n v="-1659665"/>
    <n v="40385181"/>
    <n v="47953253.280000001"/>
    <n v="47953253"/>
    <n v="40385180.719999999"/>
    <n v="0.2800000011920929"/>
    <n v="0.2800000011920929"/>
    <n v="0.2800000011920929"/>
    <d v="2023-12-30T00:00:00"/>
  </r>
  <r>
    <x v="7"/>
    <x v="29"/>
    <d v="2023-12-01T00:00:00"/>
    <d v="2023-12-15T00:00:00"/>
    <d v="2023-12-18T00:00:00"/>
    <d v="2024-01-11T00:00:00"/>
    <n v="42044846"/>
    <n v="7568072.2799999993"/>
    <n v="-1659665"/>
    <n v="40385181"/>
    <n v="47953253.280000001"/>
    <n v="47953253"/>
    <n v="40385180.719999999"/>
    <n v="0.2800000011920929"/>
    <n v="0.2800000011920929"/>
    <n v="0.2800000011920929"/>
    <d v="2024-01-17T00:00:00"/>
  </r>
  <r>
    <x v="7"/>
    <x v="30"/>
    <d v="2024-01-01T00:00:00"/>
    <d v="2024-01-23T00:00:00"/>
    <d v="2024-01-25T00:00:00"/>
    <d v="2024-03-04T00:00:00"/>
    <n v="42044846"/>
    <n v="7568072.2799999993"/>
    <n v="-1659665"/>
    <n v="40385181"/>
    <n v="47953253.280000001"/>
    <n v="47953253"/>
    <n v="40385180.719999999"/>
    <n v="0.2800000011920929"/>
    <n v="0.2800000011920929"/>
    <n v="0.2800000011920929"/>
    <d v="2024-02-24T00:00:00"/>
  </r>
  <r>
    <x v="7"/>
    <x v="31"/>
    <d v="2024-02-01T00:00:00"/>
    <d v="2024-02-26T00:00:00"/>
    <d v="2024-02-29T00:00:00"/>
    <d v="2024-04-05T00:00:00"/>
    <n v="42044846"/>
    <n v="7568072.2799999993"/>
    <n v="-1659665"/>
    <n v="40385181"/>
    <n v="47953253.280000001"/>
    <n v="47953253"/>
    <n v="40385180.719999999"/>
    <n v="0.2800000011920929"/>
    <n v="0.2800000011920929"/>
    <n v="0.2800000011920929"/>
    <d v="2024-03-30T00:00:00"/>
  </r>
  <r>
    <x v="7"/>
    <x v="32"/>
    <d v="2024-03-01T00:00:00"/>
    <d v="2024-03-25T00:00:00"/>
    <d v="2024-03-27T00:00:00"/>
    <d v="2024-05-27T00:00:00"/>
    <n v="42044846"/>
    <n v="7568072.2799999993"/>
    <n v="-1659665"/>
    <n v="40385181"/>
    <n v="47953253.280000001"/>
    <n v="47953253"/>
    <n v="40385180.719999999"/>
    <n v="0.2800000011920929"/>
    <n v="0.2800000011920929"/>
    <n v="0.2800000011920929"/>
    <d v="2024-04-26T00:00:00"/>
  </r>
  <r>
    <x v="7"/>
    <x v="33"/>
    <d v="2024-04-01T00:00:00"/>
    <d v="2024-04-24T00:00:00"/>
    <d v="2024-04-29T00:00:00"/>
    <d v="2024-06-14T00:00:00"/>
    <n v="42044846"/>
    <n v="7568072.2799999993"/>
    <n v="-1659665"/>
    <n v="40385181"/>
    <n v="47953253.280000001"/>
    <n v="47953253"/>
    <n v="40385180.719999999"/>
    <n v="0.2800000011920929"/>
    <n v="0.2800000011920929"/>
    <n v="0.2800000011920929"/>
    <d v="2024-05-29T00:00:00"/>
  </r>
  <r>
    <x v="7"/>
    <x v="34"/>
    <d v="2024-05-01T00:00:00"/>
    <d v="2024-05-24T00:00:00"/>
    <d v="2024-05-28T00:00:00"/>
    <d v="2024-09-09T00:00:00"/>
    <n v="42044846"/>
    <n v="7568072.2799999993"/>
    <n v="-1659665"/>
    <n v="40385181"/>
    <n v="47953253.280000001"/>
    <n v="47953253"/>
    <n v="40385180.719999999"/>
    <n v="0.2800000011920929"/>
    <n v="0.2800000011920929"/>
    <n v="0.2800000011920929"/>
    <d v="2024-06-27T00:00:00"/>
  </r>
  <r>
    <x v="7"/>
    <x v="35"/>
    <d v="2024-06-01T00:00:00"/>
    <d v="2024-06-13T00:00:00"/>
    <d v="2024-06-27T00:00:00"/>
    <d v="2024-09-09T00:00:00"/>
    <n v="42044846"/>
    <n v="7568072.2799999993"/>
    <n v="-1659665"/>
    <n v="40385181"/>
    <n v="47953253.280000001"/>
    <n v="47953253"/>
    <n v="40385180.719999999"/>
    <n v="0.2800000011920929"/>
    <n v="0.2800000011920929"/>
    <n v="0.2800000011920929"/>
    <d v="2024-07-27T00:00:00"/>
  </r>
  <r>
    <x v="7"/>
    <x v="36"/>
    <d v="2024-07-01T00:00:00"/>
    <d v="2024-07-24T00:00:00"/>
    <d v="2024-07-25T00:00:00"/>
    <d v="2024-10-18T00:00:00"/>
    <n v="42044846"/>
    <n v="7568072.2799999993"/>
    <n v="-1659665"/>
    <n v="40385181"/>
    <n v="47953253.280000001"/>
    <n v="47953253"/>
    <n v="40385180.719999999"/>
    <n v="0.2800000011920929"/>
    <n v="0.2800000011920929"/>
    <n v="0.2800000011920929"/>
    <d v="2024-08-24T00:00:00"/>
  </r>
  <r>
    <x v="7"/>
    <x v="37"/>
    <d v="2024-08-01T00:00:00"/>
    <d v="2024-08-26T00:00:00"/>
    <d v="2024-08-27T00:00:00"/>
    <d v="2024-10-18T00:00:00"/>
    <n v="42044846"/>
    <n v="7568072.2799999993"/>
    <n v="-1659665"/>
    <n v="40385181"/>
    <n v="47953253.280000001"/>
    <n v="47953253"/>
    <n v="40385180.719999999"/>
    <n v="0.2800000011920929"/>
    <n v="0.2800000011920929"/>
    <n v="0.2800000011920929"/>
    <d v="2024-09-26T00:00:00"/>
  </r>
  <r>
    <x v="7"/>
    <x v="38"/>
    <d v="2024-09-01T00:00:00"/>
    <d v="2024-09-25T00:00:00"/>
    <d v="2024-10-02T00:00:00"/>
    <m/>
    <n v="42044846"/>
    <n v="7568072.2799999993"/>
    <n v="-1659665"/>
    <n v="40385181"/>
    <n v="47953253.280000001"/>
    <m/>
    <m/>
    <n v="47953253.280000001"/>
    <n v="47953253.280000001"/>
    <n v="40385181"/>
    <d v="2024-11-01T00:00:00"/>
  </r>
  <r>
    <x v="7"/>
    <x v="39"/>
    <d v="2024-10-01T00:00:00"/>
    <d v="2024-10-25T00:00:00"/>
    <d v="2024-10-29T00:00:00"/>
    <m/>
    <n v="42044846"/>
    <n v="7568072.2799999993"/>
    <n v="-1659665"/>
    <n v="40385181"/>
    <n v="47953253.280000001"/>
    <m/>
    <m/>
    <n v="47953253.280000001"/>
    <n v="47953253.280000001"/>
    <n v="40385181"/>
    <d v="2024-11-28T00:00:00"/>
  </r>
  <r>
    <x v="8"/>
    <x v="40"/>
    <s v=" Avance de démarrage"/>
    <d v="2024-05-02T00:00:00"/>
    <d v="2024-05-02T00:00:00"/>
    <d v="2024-05-31T00:00:00"/>
    <n v="68374900"/>
    <n v="7384489.2000000002"/>
    <n v="-683749"/>
    <n v="67691151"/>
    <n v="75075640.200000003"/>
    <n v="80682382"/>
    <n v="73297892.799999997"/>
    <n v="-5606741.799999997"/>
    <n v="-5606741.799999997"/>
    <n v="-5606741.799999997"/>
    <d v="2024-06-01T00:00:00"/>
  </r>
  <r>
    <x v="8"/>
    <x v="41"/>
    <s v="Nov-Déc 2023"/>
    <d v="2024-06-13T00:00:00"/>
    <d v="2024-06-14T00:00:00"/>
    <d v="2024-08-13T00:00:00"/>
    <n v="14549395"/>
    <n v="1571334.66"/>
    <n v="-145493.95000000001"/>
    <n v="14403901.050000001"/>
    <n v="15975235.710000001"/>
    <n v="10368494"/>
    <n v="8797159.3399999999"/>
    <n v="5606741.7100000009"/>
    <n v="5606741.7100000009"/>
    <n v="5606741.7100000009"/>
    <d v="2024-07-14T00:00:00"/>
  </r>
  <r>
    <x v="8"/>
    <x v="42"/>
    <d v="2024-01-01T00:00:00"/>
    <d v="2024-06-13T00:00:00"/>
    <d v="2024-06-14T00:00:00"/>
    <d v="2024-08-13T00:00:00"/>
    <n v="10311395"/>
    <n v="1113630.6599999999"/>
    <n v="-103113.95"/>
    <n v="10208281.050000001"/>
    <n v="11321911.710000001"/>
    <n v="11321912"/>
    <n v="10208281.34"/>
    <n v="-0.28999999910593033"/>
    <n v="-0.28999999910593033"/>
    <n v="-0.28999999910593033"/>
    <d v="2024-07-14T00:00:00"/>
  </r>
  <r>
    <x v="8"/>
    <x v="43"/>
    <d v="2024-02-01T00:00:00"/>
    <d v="2024-06-13T00:00:00"/>
    <d v="2024-06-14T00:00:00"/>
    <d v="2024-08-13T00:00:00"/>
    <n v="11643395"/>
    <n v="1257486.6599999999"/>
    <n v="-116433.95"/>
    <n v="11526961.050000001"/>
    <n v="12784447.710000001"/>
    <n v="12784448"/>
    <n v="11526961.34"/>
    <n v="-0.28999999910593033"/>
    <n v="-0.28999999910593033"/>
    <n v="-0.28999999910593033"/>
    <d v="2024-07-14T00:00:00"/>
  </r>
  <r>
    <x v="8"/>
    <x v="44"/>
    <d v="2024-03-01T00:00:00"/>
    <d v="2024-06-13T00:00:00"/>
    <d v="2024-06-14T00:00:00"/>
    <d v="2024-08-13T00:00:00"/>
    <n v="10866395"/>
    <n v="1173570.6599999999"/>
    <n v="-108663.95"/>
    <n v="10757731.050000001"/>
    <n v="11931301.710000001"/>
    <n v="11931302"/>
    <n v="10757731.34"/>
    <n v="-0.28999999910593033"/>
    <n v="-0.28999999910593033"/>
    <n v="-0.28999999910593033"/>
    <d v="2024-07-14T00:00:00"/>
  </r>
  <r>
    <x v="8"/>
    <x v="45"/>
    <d v="2024-04-01T00:00:00"/>
    <d v="2024-06-13T00:00:00"/>
    <d v="2024-06-14T00:00:00"/>
    <d v="2024-08-13T00:00:00"/>
    <n v="9460395"/>
    <n v="1021722.6599999999"/>
    <n v="-94603.95"/>
    <n v="9365791.0500000007"/>
    <n v="10387513.710000001"/>
    <n v="10387514"/>
    <n v="9365791.3399999999"/>
    <n v="-0.28999999910593033"/>
    <n v="-0.28999999910593033"/>
    <n v="-0.28999999910593033"/>
    <d v="2024-07-14T00:00:00"/>
  </r>
  <r>
    <x v="8"/>
    <x v="46"/>
    <d v="2024-05-01T00:00:00"/>
    <d v="2024-07-03T00:00:00"/>
    <d v="2024-07-03T00:00:00"/>
    <d v="2024-08-27T00:00:00"/>
    <n v="80811395"/>
    <n v="8727630.6600000001"/>
    <n v="-808113.95000000007"/>
    <n v="80003281.049999997"/>
    <n v="88730911.709999993"/>
    <n v="88730912"/>
    <n v="80003281.340000004"/>
    <n v="-0.29000000655651093"/>
    <n v="-0.29000000655651093"/>
    <n v="-0.29000000655651093"/>
    <d v="2024-08-02T00:00:00"/>
  </r>
  <r>
    <x v="8"/>
    <x v="47"/>
    <d v="2024-06-01T00:00:00"/>
    <d v="2024-07-24T00:00:00"/>
    <d v="2024-07-25T00:00:00"/>
    <m/>
    <n v="10200395"/>
    <n v="1101642.6599999999"/>
    <n v="-102003.95"/>
    <n v="10098391.050000001"/>
    <n v="11200033.710000001"/>
    <m/>
    <m/>
    <n v="11200033.710000001"/>
    <n v="11200033.710000001"/>
    <n v="10098391.050000001"/>
    <d v="2024-08-24T00:00:00"/>
  </r>
  <r>
    <x v="8"/>
    <x v="48"/>
    <d v="2024-07-01T00:00:00"/>
    <d v="2024-08-12T00:00:00"/>
    <d v="2024-08-12T00:00:00"/>
    <m/>
    <n v="10311395"/>
    <n v="1113630.6599999999"/>
    <n v="-103113.95"/>
    <n v="10208281.050000001"/>
    <n v="11321911.710000001"/>
    <m/>
    <m/>
    <n v="11321911.710000001"/>
    <n v="11321911.710000001"/>
    <n v="10208281.050000001"/>
    <d v="2024-09-11T00:00:00"/>
  </r>
  <r>
    <x v="9"/>
    <x v="49"/>
    <s v="Avance de démarrage"/>
    <d v="2024-05-10T00:00:00"/>
    <d v="2024-05-27T00:00:00"/>
    <d v="2024-07-03T00:00:00"/>
    <n v="109800000"/>
    <n v="11858400"/>
    <n v="-1098000"/>
    <n v="108702000"/>
    <n v="120560400"/>
    <n v="120560400"/>
    <n v="108702000"/>
    <n v="0"/>
    <n v="0"/>
    <n v="0"/>
    <d v="2024-06-26T00:00:00"/>
  </r>
  <r>
    <x v="10"/>
    <x v="50"/>
    <s v="mars et avril 2024"/>
    <d v="2024-07-02T00:00:00"/>
    <d v="2024-07-04T00:00:00"/>
    <d v="2024-08-09T00:00:00"/>
    <n v="36150000"/>
    <n v="3904200"/>
    <n v="-361500"/>
    <n v="35788500"/>
    <n v="39692700"/>
    <n v="39692700"/>
    <n v="35788500"/>
    <n v="0"/>
    <n v="0"/>
    <n v="0"/>
    <d v="2024-08-03T00:00:00"/>
  </r>
  <r>
    <x v="11"/>
    <x v="51"/>
    <d v="2024-05-01T00:00:00"/>
    <d v="2024-07-03T00:00:00"/>
    <d v="2024-07-04T00:00:00"/>
    <d v="2024-08-09T00:00:00"/>
    <n v="18075000"/>
    <n v="1952100"/>
    <n v="-180750"/>
    <n v="17894250"/>
    <n v="19846350"/>
    <n v="19846350"/>
    <n v="17894250"/>
    <n v="0"/>
    <n v="0"/>
    <n v="0"/>
    <d v="2024-08-03T00:00:00"/>
  </r>
  <r>
    <x v="12"/>
    <x v="52"/>
    <d v="2024-06-01T00:00:00"/>
    <d v="2024-07-08T00:00:00"/>
    <d v="2024-07-09T00:00:00"/>
    <d v="2024-08-09T00:00:00"/>
    <n v="18225000"/>
    <n v="1968300"/>
    <n v="-182250"/>
    <n v="18042750"/>
    <n v="20011050"/>
    <n v="20011050"/>
    <n v="18042750"/>
    <n v="0"/>
    <n v="0"/>
    <n v="0"/>
    <d v="2024-08-08T00:00:00"/>
  </r>
  <r>
    <x v="13"/>
    <x v="53"/>
    <d v="2024-07-01T00:00:00"/>
    <d v="2024-07-26T00:00:00"/>
    <d v="2024-07-29T00:00:00"/>
    <d v="2024-09-03T00:00:00"/>
    <n v="18075000"/>
    <n v="1952100"/>
    <n v="-180750"/>
    <n v="17894250"/>
    <n v="19846350"/>
    <n v="19846350"/>
    <n v="17894250"/>
    <n v="0"/>
    <n v="0"/>
    <n v="0"/>
    <d v="2024-08-28T00:00:00"/>
  </r>
  <r>
    <x v="14"/>
    <x v="54"/>
    <d v="2024-08-01T00:00:00"/>
    <d v="2024-08-30T00:00:00"/>
    <d v="2024-09-02T00:00:00"/>
    <d v="2024-09-24T00:00:00"/>
    <n v="18225000"/>
    <n v="1968300"/>
    <n v="-182250"/>
    <n v="18042750"/>
    <n v="20011050"/>
    <n v="20011050"/>
    <n v="18042750"/>
    <n v="0"/>
    <n v="0"/>
    <n v="0"/>
    <d v="2024-10-02T00:00:00"/>
  </r>
  <r>
    <x v="15"/>
    <x v="55"/>
    <d v="2024-09-01T00:00:00"/>
    <d v="2024-10-02T00:00:00"/>
    <d v="2024-10-03T00:00:00"/>
    <m/>
    <n v="18075000"/>
    <n v="1952100"/>
    <n v="-180750"/>
    <n v="17894250"/>
    <n v="19846350"/>
    <m/>
    <m/>
    <n v="19846350"/>
    <n v="19846350"/>
    <n v="17894250"/>
    <d v="2024-11-02T00:00:00"/>
  </r>
  <r>
    <x v="10"/>
    <x v="56"/>
    <s v="Avance de démarrage"/>
    <d v="2024-10-09T00:00:00"/>
    <d v="2024-10-09T00:00:00"/>
    <d v="2024-11-07T00:00:00"/>
    <n v="66600000"/>
    <n v="7192800"/>
    <n v="-666000"/>
    <n v="65934000"/>
    <n v="73126800"/>
    <n v="73126800"/>
    <n v="65934000"/>
    <n v="0"/>
    <n v="0"/>
    <n v="0"/>
    <d v="2024-11-08T00:00:00"/>
  </r>
  <r>
    <x v="11"/>
    <x v="57"/>
    <s v="mars à septembre 2024"/>
    <d v="2024-10-09T00:00:00"/>
    <d v="2024-10-09T00:00:00"/>
    <m/>
    <n v="76615500"/>
    <n v="8274474"/>
    <n v="-766155"/>
    <n v="75849345"/>
    <n v="84123819"/>
    <m/>
    <m/>
    <n v="84123819"/>
    <n v="84123819"/>
    <n v="75849345"/>
    <d v="2024-11-08T00:00:00"/>
  </r>
  <r>
    <x v="16"/>
    <x v="58"/>
    <s v="Avance de démarrage"/>
    <d v="2024-06-17T00:00:00"/>
    <d v="2024-06-17T00:00:00"/>
    <d v="2024-08-14T00:00:00"/>
    <n v="43161546"/>
    <n v="7769078.2799999993"/>
    <n v="-1294846.3799999999"/>
    <n v="41866699.619999997"/>
    <n v="49635777.899999999"/>
    <n v="49635778"/>
    <n v="41866699.719999999"/>
    <n v="-0.10000000149011612"/>
    <n v="-0.10000000149011612"/>
    <n v="-0.10000000149011612"/>
    <d v="2024-07-17T00:00:00"/>
  </r>
  <r>
    <x v="16"/>
    <x v="59"/>
    <d v="2024-06-01T00:00:00"/>
    <d v="2024-07-02T00:00:00"/>
    <d v="2024-07-03T00:00:00"/>
    <d v="2024-08-14T00:00:00"/>
    <n v="64742320"/>
    <n v="11653617.6"/>
    <n v="-1942269.5999999999"/>
    <n v="62800050.399999999"/>
    <n v="74453668"/>
    <n v="74453668"/>
    <n v="62800050.399999999"/>
    <n v="0"/>
    <n v="0"/>
    <n v="0"/>
    <d v="2024-08-02T00:00:00"/>
  </r>
  <r>
    <x v="16"/>
    <x v="60"/>
    <d v="2024-07-01T00:00:00"/>
    <d v="2024-07-08T00:00:00"/>
    <d v="2024-07-09T00:00:00"/>
    <d v="2024-09-16T00:00:00"/>
    <n v="64742320"/>
    <n v="11653617.6"/>
    <n v="-1942269.5999999999"/>
    <n v="62800050.399999999"/>
    <n v="74453668"/>
    <n v="74453668"/>
    <n v="62800050.399999999"/>
    <n v="0"/>
    <n v="0"/>
    <n v="0"/>
    <d v="2024-08-08T00:00:00"/>
  </r>
  <r>
    <x v="16"/>
    <x v="61"/>
    <d v="2024-08-01T00:00:00"/>
    <d v="2024-07-25T00:00:00"/>
    <d v="2024-07-25T00:00:00"/>
    <d v="2024-09-25T00:00:00"/>
    <n v="64742320"/>
    <n v="11653617.6"/>
    <n v="-1942269.5999999999"/>
    <n v="62800050.399999999"/>
    <n v="74453668"/>
    <n v="74453668"/>
    <n v="62800050.399999999"/>
    <n v="0"/>
    <n v="0"/>
    <n v="0"/>
    <d v="2024-08-24T00:00:00"/>
  </r>
  <r>
    <x v="16"/>
    <x v="62"/>
    <s v="sept et octobre 2024"/>
    <d v="2024-08-28T00:00:00"/>
    <d v="2024-08-28T00:00:00"/>
    <m/>
    <n v="129484640"/>
    <n v="23307235.199999999"/>
    <n v="-3884539.1999999997"/>
    <n v="125600100.8"/>
    <n v="148907336"/>
    <m/>
    <m/>
    <n v="148907336"/>
    <n v="148907336"/>
    <n v="125600100.8"/>
    <d v="2024-09-27T00:00:00"/>
  </r>
  <r>
    <x v="17"/>
    <x v="63"/>
    <d v="2024-07-01T00:00:00"/>
    <d v="2024-07-09T00:00:00"/>
    <d v="2024-07-09T00:00:00"/>
    <d v="2024-07-15T00:00:00"/>
    <n v="12886598"/>
    <n v="2319587.64"/>
    <n v="-386597.94"/>
    <n v="12500000.060000001"/>
    <n v="14819587.700000001"/>
    <n v="14819588"/>
    <n v="12500000.359999999"/>
    <n v="-0.29999999888241291"/>
    <n v="-0.29999999888241291"/>
    <n v="-0.29999999888241291"/>
    <d v="2024-08-08T00:00:00"/>
  </r>
  <r>
    <x v="17"/>
    <x v="64"/>
    <d v="2024-10-01T00:00:00"/>
    <d v="2024-10-02T00:00:00"/>
    <d v="2024-11-04T00:00:00"/>
    <m/>
    <n v="12886598"/>
    <n v="2319587.64"/>
    <n v="-386597.94"/>
    <n v="12500000.060000001"/>
    <n v="14819587.700000001"/>
    <m/>
    <m/>
    <n v="14819587.700000001"/>
    <n v="14819587.700000001"/>
    <n v="12500000.060000001"/>
    <d v="2024-12-04T00:00:00"/>
  </r>
  <r>
    <x v="18"/>
    <x v="65"/>
    <s v="décembre 23-juillet 24"/>
    <d v="2024-08-12T00:00:00"/>
    <d v="2024-08-12T00:00:00"/>
    <d v="2024-08-27T00:00:00"/>
    <n v="15750000"/>
    <n v="2835000"/>
    <n v="-472500"/>
    <n v="15277500"/>
    <n v="18112500"/>
    <n v="18112500"/>
    <n v="15277500"/>
    <n v="0"/>
    <n v="0"/>
    <n v="0"/>
    <d v="2024-09-11T00:00:00"/>
  </r>
  <r>
    <x v="18"/>
    <x v="66"/>
    <d v="2024-08-01T00:00:00"/>
    <d v="2024-08-26T00:00:00"/>
    <d v="2024-08-27T00:00:00"/>
    <m/>
    <n v="2100000"/>
    <n v="378000"/>
    <n v="-63000"/>
    <n v="2037000"/>
    <n v="2415000"/>
    <m/>
    <m/>
    <n v="2415000"/>
    <n v="2415000"/>
    <n v="2037000"/>
    <d v="2024-09-26T00:00:00"/>
  </r>
  <r>
    <x v="18"/>
    <x v="67"/>
    <d v="2024-09-01T00:00:00"/>
    <d v="2024-09-25T00:00:00"/>
    <d v="2024-10-01T00:00:00"/>
    <m/>
    <n v="2100000"/>
    <n v="378000"/>
    <n v="-63000"/>
    <n v="2037000"/>
    <n v="2415000"/>
    <m/>
    <m/>
    <n v="2415000"/>
    <n v="2415000"/>
    <n v="2037000"/>
    <d v="2024-10-31T00:00:00"/>
  </r>
  <r>
    <x v="18"/>
    <x v="68"/>
    <d v="2024-10-01T00:00:00"/>
    <d v="2024-10-25T00:00:00"/>
    <d v="2024-10-28T00:00:00"/>
    <m/>
    <n v="2100000"/>
    <n v="378000"/>
    <n v="-63000"/>
    <n v="2037000"/>
    <n v="2415000"/>
    <m/>
    <m/>
    <n v="2415000"/>
    <n v="2415000"/>
    <n v="2037000"/>
    <d v="2024-11-27T00:00:00"/>
  </r>
  <r>
    <x v="19"/>
    <x v="69"/>
    <s v="Acompte de 70%"/>
    <d v="2024-10-04T00:00:00"/>
    <d v="2024-10-09T00:00:00"/>
    <m/>
    <n v="216339437"/>
    <n v="23364659.195999999"/>
    <n v="-2163394.37"/>
    <n v="214176042.63"/>
    <n v="237540701.82600001"/>
    <m/>
    <m/>
    <n v="237540701.82600001"/>
    <n v="237540701.82600001"/>
    <n v="214176042.63"/>
    <d v="2024-11-08T00:00:00"/>
  </r>
  <r>
    <x v="19"/>
    <x v="70"/>
    <s v="Facturation supplémentaire"/>
    <d v="2024-10-04T00:00:00"/>
    <d v="2024-10-09T00:00:00"/>
    <m/>
    <n v="21649485"/>
    <n v="3896907.3"/>
    <n v="-649484.54999999993"/>
    <n v="21000000.449999999"/>
    <n v="24896907.75"/>
    <m/>
    <m/>
    <n v="24896907.75"/>
    <n v="24896907.75"/>
    <n v="21000000.449999999"/>
    <d v="2024-11-08T00:00:00"/>
  </r>
  <r>
    <x v="20"/>
    <x v="71"/>
    <m/>
    <m/>
    <m/>
    <m/>
    <m/>
    <m/>
    <m/>
    <m/>
    <m/>
    <m/>
    <m/>
    <m/>
    <m/>
    <m/>
    <m/>
  </r>
  <r>
    <x v="21"/>
    <x v="71"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BFAC88D-1EB6-4FB9-85AF-498FDBBB89BD}" name="Tableau croisé dynamique2" cacheId="1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compact="0" compactData="0" multipleFieldFilters="0">
  <location ref="A3:D99" firstHeaderRow="0" firstDataRow="1" firstDataCol="2"/>
  <pivotFields count="17">
    <pivotField axis="axisRow" compact="0" outline="0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9"/>
        <item x="20"/>
        <item x="21"/>
        <item x="18"/>
        <item t="default"/>
      </items>
    </pivotField>
    <pivotField axis="axisRow" compact="0" outline="0" showAll="0">
      <items count="73">
        <item x="2"/>
        <item x="30"/>
        <item x="8"/>
        <item x="22"/>
        <item x="31"/>
        <item x="11"/>
        <item x="32"/>
        <item x="6"/>
        <item x="33"/>
        <item x="12"/>
        <item x="40"/>
        <item x="9"/>
        <item x="49"/>
        <item x="4"/>
        <item x="14"/>
        <item x="23"/>
        <item x="34"/>
        <item x="0"/>
        <item x="15"/>
        <item x="35"/>
        <item x="16"/>
        <item x="41"/>
        <item x="1"/>
        <item x="42"/>
        <item x="3"/>
        <item x="17"/>
        <item x="43"/>
        <item x="5"/>
        <item x="44"/>
        <item x="7"/>
        <item x="18"/>
        <item x="45"/>
        <item x="10"/>
        <item x="13"/>
        <item x="58"/>
        <item x="24"/>
        <item x="50"/>
        <item x="25"/>
        <item x="26"/>
        <item x="59"/>
        <item x="19"/>
        <item x="51"/>
        <item x="27"/>
        <item x="46"/>
        <item x="28"/>
        <item x="52"/>
        <item x="20"/>
        <item x="60"/>
        <item x="29"/>
        <item x="63"/>
        <item x="21"/>
        <item x="47"/>
        <item x="36"/>
        <item x="61"/>
        <item x="53"/>
        <item x="48"/>
        <item x="65"/>
        <item x="37"/>
        <item x="66"/>
        <item x="62"/>
        <item x="54"/>
        <item x="38"/>
        <item x="67"/>
        <item x="64"/>
        <item x="55"/>
        <item x="69"/>
        <item x="70"/>
        <item x="56"/>
        <item x="57"/>
        <item x="39"/>
        <item x="68"/>
        <item x="71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showAll="0"/>
  </pivotFields>
  <rowFields count="2">
    <field x="0"/>
    <field x="1"/>
  </rowFields>
  <rowItems count="96">
    <i>
      <x/>
      <x/>
    </i>
    <i r="1">
      <x v="17"/>
    </i>
    <i r="1">
      <x v="22"/>
    </i>
    <i t="default">
      <x/>
    </i>
    <i>
      <x v="1"/>
      <x v="7"/>
    </i>
    <i r="1">
      <x v="13"/>
    </i>
    <i r="1">
      <x v="24"/>
    </i>
    <i r="1">
      <x v="27"/>
    </i>
    <i t="default">
      <x v="1"/>
    </i>
    <i>
      <x v="2"/>
      <x v="29"/>
    </i>
    <i t="default">
      <x v="2"/>
    </i>
    <i>
      <x v="3"/>
      <x v="2"/>
    </i>
    <i r="1">
      <x v="11"/>
    </i>
    <i t="default">
      <x v="3"/>
    </i>
    <i>
      <x v="4"/>
      <x v="5"/>
    </i>
    <i r="1">
      <x v="9"/>
    </i>
    <i r="1">
      <x v="32"/>
    </i>
    <i t="default">
      <x v="4"/>
    </i>
    <i>
      <x v="5"/>
      <x v="33"/>
    </i>
    <i t="default">
      <x v="5"/>
    </i>
    <i>
      <x v="6"/>
      <x v="3"/>
    </i>
    <i r="1">
      <x v="14"/>
    </i>
    <i r="1">
      <x v="18"/>
    </i>
    <i r="1">
      <x v="20"/>
    </i>
    <i r="1">
      <x v="25"/>
    </i>
    <i r="1">
      <x v="30"/>
    </i>
    <i r="1">
      <x v="40"/>
    </i>
    <i r="1">
      <x v="46"/>
    </i>
    <i r="1">
      <x v="50"/>
    </i>
    <i t="default">
      <x v="6"/>
    </i>
    <i>
      <x v="7"/>
      <x v="1"/>
    </i>
    <i r="1">
      <x v="4"/>
    </i>
    <i r="1">
      <x v="6"/>
    </i>
    <i r="1">
      <x v="8"/>
    </i>
    <i r="1">
      <x v="15"/>
    </i>
    <i r="1">
      <x v="16"/>
    </i>
    <i r="1">
      <x v="19"/>
    </i>
    <i r="1">
      <x v="35"/>
    </i>
    <i r="1">
      <x v="37"/>
    </i>
    <i r="1">
      <x v="38"/>
    </i>
    <i r="1">
      <x v="42"/>
    </i>
    <i r="1">
      <x v="44"/>
    </i>
    <i r="1">
      <x v="48"/>
    </i>
    <i r="1">
      <x v="52"/>
    </i>
    <i r="1">
      <x v="57"/>
    </i>
    <i r="1">
      <x v="61"/>
    </i>
    <i r="1">
      <x v="69"/>
    </i>
    <i t="default">
      <x v="7"/>
    </i>
    <i>
      <x v="8"/>
      <x v="10"/>
    </i>
    <i r="1">
      <x v="21"/>
    </i>
    <i r="1">
      <x v="23"/>
    </i>
    <i r="1">
      <x v="26"/>
    </i>
    <i r="1">
      <x v="28"/>
    </i>
    <i r="1">
      <x v="31"/>
    </i>
    <i r="1">
      <x v="43"/>
    </i>
    <i r="1">
      <x v="51"/>
    </i>
    <i r="1">
      <x v="55"/>
    </i>
    <i t="default">
      <x v="8"/>
    </i>
    <i>
      <x v="9"/>
      <x v="12"/>
    </i>
    <i t="default">
      <x v="9"/>
    </i>
    <i>
      <x v="10"/>
      <x v="36"/>
    </i>
    <i r="1">
      <x v="67"/>
    </i>
    <i t="default">
      <x v="10"/>
    </i>
    <i>
      <x v="11"/>
      <x v="41"/>
    </i>
    <i r="1">
      <x v="68"/>
    </i>
    <i t="default">
      <x v="11"/>
    </i>
    <i>
      <x v="12"/>
      <x v="45"/>
    </i>
    <i t="default">
      <x v="12"/>
    </i>
    <i>
      <x v="13"/>
      <x v="54"/>
    </i>
    <i t="default">
      <x v="13"/>
    </i>
    <i>
      <x v="14"/>
      <x v="60"/>
    </i>
    <i t="default">
      <x v="14"/>
    </i>
    <i>
      <x v="15"/>
      <x v="64"/>
    </i>
    <i t="default">
      <x v="15"/>
    </i>
    <i>
      <x v="16"/>
      <x v="34"/>
    </i>
    <i r="1">
      <x v="39"/>
    </i>
    <i r="1">
      <x v="47"/>
    </i>
    <i r="1">
      <x v="53"/>
    </i>
    <i r="1">
      <x v="59"/>
    </i>
    <i t="default">
      <x v="16"/>
    </i>
    <i>
      <x v="17"/>
      <x v="49"/>
    </i>
    <i r="1">
      <x v="63"/>
    </i>
    <i t="default">
      <x v="17"/>
    </i>
    <i>
      <x v="18"/>
      <x v="65"/>
    </i>
    <i r="1">
      <x v="66"/>
    </i>
    <i t="default">
      <x v="18"/>
    </i>
    <i>
      <x v="19"/>
      <x v="71"/>
    </i>
    <i t="default">
      <x v="19"/>
    </i>
    <i>
      <x v="20"/>
      <x v="71"/>
    </i>
    <i t="default">
      <x v="20"/>
    </i>
    <i>
      <x v="21"/>
      <x v="56"/>
    </i>
    <i r="1">
      <x v="58"/>
    </i>
    <i r="1">
      <x v="62"/>
    </i>
    <i r="1">
      <x v="70"/>
    </i>
    <i t="default">
      <x v="21"/>
    </i>
    <i t="grand">
      <x/>
    </i>
  </rowItems>
  <colFields count="1">
    <field x="-2"/>
  </colFields>
  <colItems count="2">
    <i>
      <x/>
    </i>
    <i i="1">
      <x v="1"/>
    </i>
  </colItems>
  <dataFields count="2">
    <dataField name="Somme de MONTANT NET HT " fld="9" baseField="0" baseItem="0"/>
    <dataField name="Somme de RESTANT DÛ NET HT" fld="15" baseField="0" baseItem="0"/>
  </dataFields>
  <formats count="8">
    <format dxfId="10">
      <pivotArea outline="0" collapsedLevelsAreSubtotals="1" fieldPosition="0"/>
    </format>
    <format dxfId="9">
      <pivotArea dataOnly="0" labelOnly="1" outline="0" axis="axisValues" fieldPosition="0"/>
    </format>
    <format dxfId="8">
      <pivotArea field="0" type="button" dataOnly="0" labelOnly="1" outline="0" axis="axisRow" fieldPosition="0"/>
    </format>
    <format dxfId="7">
      <pivotArea field="1" type="button" dataOnly="0" labelOnly="1" outline="0" axis="axisRow" fieldPosition="1"/>
    </format>
    <format dxfId="6">
      <pivotArea dataOnly="0" labelOnly="1" outline="0" axis="axisValues" fieldPosition="0"/>
    </format>
    <format dxfId="5">
      <pivotArea field="0" type="button" dataOnly="0" labelOnly="1" outline="0" axis="axisRow" fieldPosition="0"/>
    </format>
    <format dxfId="4">
      <pivotArea field="1" type="button" dataOnly="0" labelOnly="1" outline="0" axis="axisRow" fieldPosition="1"/>
    </format>
    <format dxfId="3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00000000}" name="Tableau25" displayName="Tableau25" ref="B3:B15" totalsRowShown="0">
  <autoFilter ref="B3:B15" xr:uid="{00000000-0009-0000-0100-000019000000}"/>
  <tableColumns count="1">
    <tableColumn id="1" xr3:uid="{00000000-0010-0000-0000-000001000000}" name="MOIS" dataDxfId="1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600B93-1475-4090-A16C-CB56B990BB2F}" name="Tableau1" displayName="Tableau1" ref="E2:E14" totalsRowShown="0">
  <autoFilter ref="E2:E14" xr:uid="{AE600B93-1475-4090-A16C-CB56B990BB2F}"/>
  <tableColumns count="1">
    <tableColumn id="1" xr3:uid="{5DC617A4-4942-4FEF-BFD4-D7F65299E60B}" name="MOIS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1D8A385-3CD9-4677-92DD-CF01BC48E368}" name="Tableau2" displayName="Tableau2" ref="C2:C7" totalsRowShown="0">
  <autoFilter ref="C2:C7" xr:uid="{01D8A385-3CD9-4677-92DD-CF01BC48E368}"/>
  <tableColumns count="1">
    <tableColumn id="1" xr3:uid="{9D82453C-0033-43D6-B6B9-50B5AA6879D1}" name="annee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C2FE7A9-7B64-4361-B037-7FF9DEB19A75}" name="Tableau3" displayName="Tableau3" ref="A2:A6" totalsRowShown="0">
  <autoFilter ref="A2:A6" xr:uid="{2C2FE7A9-7B64-4361-B037-7FF9DEB19A75}"/>
  <tableColumns count="1">
    <tableColumn id="1" xr3:uid="{4607AEED-002B-4BB5-A02B-574CD4953DBA}" name="STATU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B15"/>
  <sheetViews>
    <sheetView workbookViewId="0">
      <selection activeCell="C6" sqref="C6"/>
    </sheetView>
  </sheetViews>
  <sheetFormatPr baseColWidth="10" defaultRowHeight="15" x14ac:dyDescent="0.25"/>
  <sheetData>
    <row r="3" spans="2:2" x14ac:dyDescent="0.25">
      <c r="B3" t="s">
        <v>1</v>
      </c>
    </row>
    <row r="4" spans="2:2" x14ac:dyDescent="0.25">
      <c r="B4" s="1">
        <v>44927</v>
      </c>
    </row>
    <row r="5" spans="2:2" x14ac:dyDescent="0.25">
      <c r="B5" s="1">
        <v>44958</v>
      </c>
    </row>
    <row r="6" spans="2:2" x14ac:dyDescent="0.25">
      <c r="B6" s="1">
        <v>44986</v>
      </c>
    </row>
    <row r="7" spans="2:2" x14ac:dyDescent="0.25">
      <c r="B7" s="1">
        <v>45017</v>
      </c>
    </row>
    <row r="8" spans="2:2" x14ac:dyDescent="0.25">
      <c r="B8" s="1">
        <v>45047</v>
      </c>
    </row>
    <row r="9" spans="2:2" x14ac:dyDescent="0.25">
      <c r="B9" s="1">
        <v>45078</v>
      </c>
    </row>
    <row r="10" spans="2:2" x14ac:dyDescent="0.25">
      <c r="B10" s="1">
        <v>45108</v>
      </c>
    </row>
    <row r="11" spans="2:2" x14ac:dyDescent="0.25">
      <c r="B11" s="1">
        <v>45139</v>
      </c>
    </row>
    <row r="12" spans="2:2" x14ac:dyDescent="0.25">
      <c r="B12" s="1">
        <v>45170</v>
      </c>
    </row>
    <row r="13" spans="2:2" x14ac:dyDescent="0.25">
      <c r="B13" s="1">
        <v>45200</v>
      </c>
    </row>
    <row r="14" spans="2:2" x14ac:dyDescent="0.25">
      <c r="B14" s="1">
        <v>45231</v>
      </c>
    </row>
    <row r="15" spans="2:2" x14ac:dyDescent="0.25">
      <c r="B15" s="1">
        <v>45261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1D749-7BA1-4580-AEAC-2C384BB015D4}">
  <dimension ref="A3:D99"/>
  <sheetViews>
    <sheetView workbookViewId="0">
      <selection activeCell="C22" sqref="C22"/>
    </sheetView>
  </sheetViews>
  <sheetFormatPr baseColWidth="10" defaultRowHeight="15" x14ac:dyDescent="0.25"/>
  <cols>
    <col min="1" max="1" width="36.7109375" bestFit="1" customWidth="1"/>
    <col min="2" max="2" width="13.85546875" bestFit="1" customWidth="1"/>
    <col min="3" max="3" width="27.7109375" style="66" bestFit="1" customWidth="1"/>
    <col min="4" max="4" width="28.85546875" bestFit="1" customWidth="1"/>
  </cols>
  <sheetData>
    <row r="3" spans="1:4" s="68" customFormat="1" x14ac:dyDescent="0.25">
      <c r="A3" s="67" t="s">
        <v>10</v>
      </c>
      <c r="B3" s="67" t="s">
        <v>16</v>
      </c>
      <c r="C3" t="s">
        <v>187</v>
      </c>
      <c r="D3" t="s">
        <v>183</v>
      </c>
    </row>
    <row r="4" spans="1:4" x14ac:dyDescent="0.25">
      <c r="A4" t="s">
        <v>62</v>
      </c>
      <c r="B4" t="s">
        <v>68</v>
      </c>
      <c r="C4" s="69">
        <v>7199340</v>
      </c>
      <c r="D4" s="69">
        <v>0</v>
      </c>
    </row>
    <row r="5" spans="1:4" x14ac:dyDescent="0.25">
      <c r="B5" t="s">
        <v>53</v>
      </c>
      <c r="C5" s="69">
        <v>7199340</v>
      </c>
      <c r="D5" s="69">
        <v>-222660</v>
      </c>
    </row>
    <row r="6" spans="1:4" x14ac:dyDescent="0.25">
      <c r="B6" t="s">
        <v>54</v>
      </c>
      <c r="C6" s="69">
        <v>9599120</v>
      </c>
      <c r="D6" s="69">
        <v>0</v>
      </c>
    </row>
    <row r="7" spans="1:4" x14ac:dyDescent="0.25">
      <c r="A7" t="s">
        <v>161</v>
      </c>
      <c r="C7" s="69">
        <v>23997800</v>
      </c>
      <c r="D7" s="69">
        <v>-222660</v>
      </c>
    </row>
    <row r="8" spans="1:4" x14ac:dyDescent="0.25">
      <c r="A8" t="s">
        <v>63</v>
      </c>
      <c r="B8" t="s">
        <v>71</v>
      </c>
      <c r="C8" s="69">
        <v>8245000</v>
      </c>
      <c r="D8" s="69">
        <v>0</v>
      </c>
    </row>
    <row r="9" spans="1:4" x14ac:dyDescent="0.25">
      <c r="B9" t="s">
        <v>55</v>
      </c>
      <c r="C9" s="69">
        <v>8487500</v>
      </c>
      <c r="D9" s="69">
        <v>0</v>
      </c>
    </row>
    <row r="10" spans="1:4" x14ac:dyDescent="0.25">
      <c r="B10" t="s">
        <v>57</v>
      </c>
      <c r="C10" s="69">
        <v>7275000</v>
      </c>
      <c r="D10" s="69">
        <v>0</v>
      </c>
    </row>
    <row r="11" spans="1:4" x14ac:dyDescent="0.25">
      <c r="B11" t="s">
        <v>56</v>
      </c>
      <c r="C11" s="69">
        <v>8487500</v>
      </c>
      <c r="D11" s="69">
        <v>0</v>
      </c>
    </row>
    <row r="12" spans="1:4" x14ac:dyDescent="0.25">
      <c r="A12" t="s">
        <v>162</v>
      </c>
      <c r="C12" s="69">
        <v>32495000</v>
      </c>
      <c r="D12" s="69">
        <v>0</v>
      </c>
    </row>
    <row r="13" spans="1:4" x14ac:dyDescent="0.25">
      <c r="A13" t="s">
        <v>78</v>
      </c>
      <c r="B13" t="s">
        <v>58</v>
      </c>
      <c r="C13" s="69">
        <v>12000000</v>
      </c>
      <c r="D13" s="69">
        <v>0</v>
      </c>
    </row>
    <row r="14" spans="1:4" x14ac:dyDescent="0.25">
      <c r="A14" t="s">
        <v>163</v>
      </c>
      <c r="C14" s="69">
        <v>12000000</v>
      </c>
      <c r="D14" s="69">
        <v>0</v>
      </c>
    </row>
    <row r="15" spans="1:4" x14ac:dyDescent="0.25">
      <c r="A15" t="s">
        <v>77</v>
      </c>
      <c r="B15" t="s">
        <v>69</v>
      </c>
      <c r="C15" s="69">
        <v>28000000</v>
      </c>
      <c r="D15" s="69">
        <v>0</v>
      </c>
    </row>
    <row r="16" spans="1:4" x14ac:dyDescent="0.25">
      <c r="B16" t="s">
        <v>2</v>
      </c>
      <c r="C16" s="69">
        <v>20664000</v>
      </c>
      <c r="D16" s="69">
        <v>20664000</v>
      </c>
    </row>
    <row r="17" spans="1:4" x14ac:dyDescent="0.25">
      <c r="A17" t="s">
        <v>164</v>
      </c>
      <c r="C17" s="69">
        <v>48664000</v>
      </c>
      <c r="D17" s="69">
        <v>20664000</v>
      </c>
    </row>
    <row r="18" spans="1:4" x14ac:dyDescent="0.25">
      <c r="A18" t="s">
        <v>64</v>
      </c>
      <c r="B18" t="s">
        <v>70</v>
      </c>
      <c r="C18" s="69">
        <v>7027650</v>
      </c>
      <c r="D18" s="69">
        <v>0</v>
      </c>
    </row>
    <row r="19" spans="1:4" x14ac:dyDescent="0.25">
      <c r="B19" t="s">
        <v>72</v>
      </c>
      <c r="C19" s="69">
        <v>7027650</v>
      </c>
      <c r="D19" s="69">
        <v>0</v>
      </c>
    </row>
    <row r="20" spans="1:4" x14ac:dyDescent="0.25">
      <c r="B20" t="s">
        <v>61</v>
      </c>
      <c r="C20" s="69">
        <v>6023700</v>
      </c>
      <c r="D20" s="69">
        <v>0</v>
      </c>
    </row>
    <row r="21" spans="1:4" x14ac:dyDescent="0.25">
      <c r="A21" t="s">
        <v>165</v>
      </c>
      <c r="C21" s="69">
        <v>20079000</v>
      </c>
      <c r="D21" s="69">
        <v>0</v>
      </c>
    </row>
    <row r="22" spans="1:4" x14ac:dyDescent="0.25">
      <c r="A22" t="s">
        <v>65</v>
      </c>
      <c r="B22" t="s">
        <v>66</v>
      </c>
      <c r="C22" s="69">
        <v>3201000</v>
      </c>
      <c r="D22" s="69">
        <v>0</v>
      </c>
    </row>
    <row r="23" spans="1:4" x14ac:dyDescent="0.25">
      <c r="A23" t="s">
        <v>166</v>
      </c>
      <c r="C23" s="69">
        <v>3201000</v>
      </c>
      <c r="D23" s="69">
        <v>0</v>
      </c>
    </row>
    <row r="24" spans="1:4" x14ac:dyDescent="0.25">
      <c r="A24" t="s">
        <v>15</v>
      </c>
      <c r="B24" t="s">
        <v>30</v>
      </c>
      <c r="C24" s="69">
        <v>7425001</v>
      </c>
      <c r="D24" s="69">
        <v>7425001</v>
      </c>
    </row>
    <row r="25" spans="1:4" x14ac:dyDescent="0.25">
      <c r="B25" t="s">
        <v>3</v>
      </c>
      <c r="C25" s="69">
        <v>16500000.699999999</v>
      </c>
      <c r="D25" s="69">
        <v>-9900000</v>
      </c>
    </row>
    <row r="26" spans="1:4" x14ac:dyDescent="0.25">
      <c r="B26" t="s">
        <v>4</v>
      </c>
      <c r="C26" s="69">
        <v>7425000.7999999998</v>
      </c>
      <c r="D26" s="69">
        <v>7425000.7999999998</v>
      </c>
    </row>
    <row r="27" spans="1:4" x14ac:dyDescent="0.25">
      <c r="B27" t="s">
        <v>5</v>
      </c>
      <c r="C27" s="69">
        <v>7425000.7999999998</v>
      </c>
      <c r="D27" s="69">
        <v>7425000.7999999998</v>
      </c>
    </row>
    <row r="28" spans="1:4" x14ac:dyDescent="0.25">
      <c r="B28" t="s">
        <v>6</v>
      </c>
      <c r="C28" s="69">
        <v>7425000.7999999998</v>
      </c>
      <c r="D28" s="69">
        <v>7425000.7999999998</v>
      </c>
    </row>
    <row r="29" spans="1:4" x14ac:dyDescent="0.25">
      <c r="B29" t="s">
        <v>7</v>
      </c>
      <c r="C29" s="69">
        <v>7425000.7999999998</v>
      </c>
      <c r="D29" s="69">
        <v>7425000.7999999998</v>
      </c>
    </row>
    <row r="30" spans="1:4" x14ac:dyDescent="0.25">
      <c r="B30" t="s">
        <v>8</v>
      </c>
      <c r="C30" s="69">
        <v>7425000.7999999998</v>
      </c>
      <c r="D30" s="69">
        <v>7425000.7999999998</v>
      </c>
    </row>
    <row r="31" spans="1:4" x14ac:dyDescent="0.25">
      <c r="B31" t="s">
        <v>26</v>
      </c>
      <c r="C31" s="69">
        <v>7425001</v>
      </c>
      <c r="D31" s="69">
        <v>7425001</v>
      </c>
    </row>
    <row r="32" spans="1:4" x14ac:dyDescent="0.25">
      <c r="B32" t="s">
        <v>28</v>
      </c>
      <c r="C32" s="69">
        <v>7425001</v>
      </c>
      <c r="D32" s="69">
        <v>7425001</v>
      </c>
    </row>
    <row r="33" spans="1:4" x14ac:dyDescent="0.25">
      <c r="A33" t="s">
        <v>167</v>
      </c>
      <c r="C33" s="69">
        <v>75900007.699999988</v>
      </c>
      <c r="D33" s="69">
        <v>49500007</v>
      </c>
    </row>
    <row r="34" spans="1:4" x14ac:dyDescent="0.25">
      <c r="A34" t="s">
        <v>34</v>
      </c>
      <c r="B34" t="s">
        <v>29</v>
      </c>
      <c r="C34" s="69">
        <v>40385181</v>
      </c>
      <c r="D34" s="69">
        <v>0.2800000011920929</v>
      </c>
    </row>
    <row r="35" spans="1:4" x14ac:dyDescent="0.25">
      <c r="B35" t="s">
        <v>31</v>
      </c>
      <c r="C35" s="69">
        <v>40385181</v>
      </c>
      <c r="D35" s="69">
        <v>0.2800000011920929</v>
      </c>
    </row>
    <row r="36" spans="1:4" x14ac:dyDescent="0.25">
      <c r="B36" t="s">
        <v>32</v>
      </c>
      <c r="C36" s="69">
        <v>40385181</v>
      </c>
      <c r="D36" s="69">
        <v>0.2800000011920929</v>
      </c>
    </row>
    <row r="37" spans="1:4" x14ac:dyDescent="0.25">
      <c r="B37" t="s">
        <v>33</v>
      </c>
      <c r="C37" s="69">
        <v>40385181</v>
      </c>
      <c r="D37" s="69">
        <v>0.2800000011920929</v>
      </c>
    </row>
    <row r="38" spans="1:4" x14ac:dyDescent="0.25">
      <c r="B38" t="s">
        <v>11</v>
      </c>
      <c r="C38" s="69">
        <v>265546395</v>
      </c>
      <c r="D38" s="69">
        <v>0.10000002384185791</v>
      </c>
    </row>
    <row r="39" spans="1:4" x14ac:dyDescent="0.25">
      <c r="B39" t="s">
        <v>38</v>
      </c>
      <c r="C39" s="69">
        <v>40385181</v>
      </c>
      <c r="D39" s="69">
        <v>0.2800000011920929</v>
      </c>
    </row>
    <row r="40" spans="1:4" x14ac:dyDescent="0.25">
      <c r="B40" t="s">
        <v>76</v>
      </c>
      <c r="C40" s="69">
        <v>40385181</v>
      </c>
      <c r="D40" s="69">
        <v>0.2800000011920929</v>
      </c>
    </row>
    <row r="41" spans="1:4" x14ac:dyDescent="0.25">
      <c r="B41" t="s">
        <v>12</v>
      </c>
      <c r="C41" s="69">
        <v>40385181</v>
      </c>
      <c r="D41" s="69">
        <v>0.2800000011920929</v>
      </c>
    </row>
    <row r="42" spans="1:4" x14ac:dyDescent="0.25">
      <c r="B42" t="s">
        <v>13</v>
      </c>
      <c r="C42" s="69">
        <v>40385181</v>
      </c>
      <c r="D42" s="69">
        <v>0.2800000011920929</v>
      </c>
    </row>
    <row r="43" spans="1:4" x14ac:dyDescent="0.25">
      <c r="B43" t="s">
        <v>14</v>
      </c>
      <c r="C43" s="69">
        <v>40385181</v>
      </c>
      <c r="D43" s="69">
        <v>0.2800000011920929</v>
      </c>
    </row>
    <row r="44" spans="1:4" x14ac:dyDescent="0.25">
      <c r="B44" t="s">
        <v>9</v>
      </c>
      <c r="C44" s="69">
        <v>40385181</v>
      </c>
      <c r="D44" s="69">
        <v>0.2800000011920929</v>
      </c>
    </row>
    <row r="45" spans="1:4" x14ac:dyDescent="0.25">
      <c r="B45" t="s">
        <v>25</v>
      </c>
      <c r="C45" s="69">
        <v>40385181</v>
      </c>
      <c r="D45" s="69">
        <v>0.2800000011920929</v>
      </c>
    </row>
    <row r="46" spans="1:4" x14ac:dyDescent="0.25">
      <c r="B46" t="s">
        <v>27</v>
      </c>
      <c r="C46" s="69">
        <v>40385181</v>
      </c>
      <c r="D46" s="69">
        <v>0.2800000011920929</v>
      </c>
    </row>
    <row r="47" spans="1:4" x14ac:dyDescent="0.25">
      <c r="B47" t="s">
        <v>97</v>
      </c>
      <c r="C47" s="69">
        <v>40385181</v>
      </c>
      <c r="D47" s="69">
        <v>0.2800000011920929</v>
      </c>
    </row>
    <row r="48" spans="1:4" x14ac:dyDescent="0.25">
      <c r="B48" t="s">
        <v>107</v>
      </c>
      <c r="C48" s="69">
        <v>40385181</v>
      </c>
      <c r="D48" s="69">
        <v>0.2800000011920929</v>
      </c>
    </row>
    <row r="49" spans="1:4" x14ac:dyDescent="0.25">
      <c r="B49" t="s">
        <v>111</v>
      </c>
      <c r="C49" s="69">
        <v>40385181</v>
      </c>
      <c r="D49" s="69">
        <v>40385181</v>
      </c>
    </row>
    <row r="50" spans="1:4" x14ac:dyDescent="0.25">
      <c r="B50" t="s">
        <v>150</v>
      </c>
      <c r="C50" s="69">
        <v>40385181</v>
      </c>
      <c r="D50" s="69">
        <v>40385181</v>
      </c>
    </row>
    <row r="51" spans="1:4" x14ac:dyDescent="0.25">
      <c r="A51" t="s">
        <v>168</v>
      </c>
      <c r="C51" s="69">
        <v>911709291</v>
      </c>
      <c r="D51" s="69">
        <v>80770366.020000041</v>
      </c>
    </row>
    <row r="52" spans="1:4" x14ac:dyDescent="0.25">
      <c r="A52" t="s">
        <v>35</v>
      </c>
      <c r="B52" t="s">
        <v>36</v>
      </c>
      <c r="C52" s="69">
        <v>67691151</v>
      </c>
      <c r="D52" s="69">
        <v>-5606741.799999997</v>
      </c>
    </row>
    <row r="53" spans="1:4" x14ac:dyDescent="0.25">
      <c r="B53" t="s">
        <v>46</v>
      </c>
      <c r="C53" s="69">
        <v>14403901.050000001</v>
      </c>
      <c r="D53" s="69">
        <v>5606741.7100000009</v>
      </c>
    </row>
    <row r="54" spans="1:4" x14ac:dyDescent="0.25">
      <c r="B54" t="s">
        <v>47</v>
      </c>
      <c r="C54" s="69">
        <v>10208281.050000001</v>
      </c>
      <c r="D54" s="69">
        <v>-0.28999999910593033</v>
      </c>
    </row>
    <row r="55" spans="1:4" x14ac:dyDescent="0.25">
      <c r="B55" t="s">
        <v>48</v>
      </c>
      <c r="C55" s="69">
        <v>11526961.050000001</v>
      </c>
      <c r="D55" s="69">
        <v>-0.28999999910593033</v>
      </c>
    </row>
    <row r="56" spans="1:4" x14ac:dyDescent="0.25">
      <c r="B56" t="s">
        <v>49</v>
      </c>
      <c r="C56" s="69">
        <v>10757731.050000001</v>
      </c>
      <c r="D56" s="69">
        <v>-0.28999999910593033</v>
      </c>
    </row>
    <row r="57" spans="1:4" x14ac:dyDescent="0.25">
      <c r="B57" t="s">
        <v>50</v>
      </c>
      <c r="C57" s="69">
        <v>9365791.0500000007</v>
      </c>
      <c r="D57" s="69">
        <v>-0.28999999910593033</v>
      </c>
    </row>
    <row r="58" spans="1:4" x14ac:dyDescent="0.25">
      <c r="B58" t="s">
        <v>86</v>
      </c>
      <c r="C58" s="69">
        <v>80003281.049999997</v>
      </c>
      <c r="D58" s="69">
        <v>-0.29000000655651093</v>
      </c>
    </row>
    <row r="59" spans="1:4" x14ac:dyDescent="0.25">
      <c r="B59" t="s">
        <v>98</v>
      </c>
      <c r="C59" s="69">
        <v>10098391.050000001</v>
      </c>
      <c r="D59" s="69">
        <v>10098391.050000001</v>
      </c>
    </row>
    <row r="60" spans="1:4" x14ac:dyDescent="0.25">
      <c r="B60" t="s">
        <v>104</v>
      </c>
      <c r="C60" s="69">
        <v>10208281.050000001</v>
      </c>
      <c r="D60" s="69">
        <v>10208281.050000001</v>
      </c>
    </row>
    <row r="61" spans="1:4" x14ac:dyDescent="0.25">
      <c r="A61" t="s">
        <v>169</v>
      </c>
      <c r="C61" s="69">
        <v>224263769.40000001</v>
      </c>
      <c r="D61" s="69">
        <v>20306670.560000002</v>
      </c>
    </row>
    <row r="62" spans="1:4" x14ac:dyDescent="0.25">
      <c r="A62" t="s">
        <v>125</v>
      </c>
      <c r="B62" t="s">
        <v>39</v>
      </c>
      <c r="C62" s="69">
        <v>108702000</v>
      </c>
      <c r="D62" s="69">
        <v>0</v>
      </c>
    </row>
    <row r="63" spans="1:4" x14ac:dyDescent="0.25">
      <c r="A63" t="s">
        <v>170</v>
      </c>
      <c r="C63" s="69">
        <v>108702000</v>
      </c>
      <c r="D63" s="69">
        <v>0</v>
      </c>
    </row>
    <row r="64" spans="1:4" x14ac:dyDescent="0.25">
      <c r="A64" t="s">
        <v>133</v>
      </c>
      <c r="B64" t="s">
        <v>87</v>
      </c>
      <c r="C64" s="69">
        <v>35788500</v>
      </c>
      <c r="D64" s="69">
        <v>0</v>
      </c>
    </row>
    <row r="65" spans="1:4" x14ac:dyDescent="0.25">
      <c r="B65" t="s">
        <v>136</v>
      </c>
      <c r="C65" s="69">
        <v>65934000</v>
      </c>
      <c r="D65" s="69">
        <v>0</v>
      </c>
    </row>
    <row r="66" spans="1:4" x14ac:dyDescent="0.25">
      <c r="A66" t="s">
        <v>171</v>
      </c>
      <c r="C66" s="69">
        <v>101722500</v>
      </c>
      <c r="D66" s="69">
        <v>0</v>
      </c>
    </row>
    <row r="67" spans="1:4" x14ac:dyDescent="0.25">
      <c r="A67" t="s">
        <v>154</v>
      </c>
      <c r="B67" t="s">
        <v>88</v>
      </c>
      <c r="C67" s="69">
        <v>17894250</v>
      </c>
      <c r="D67" s="69">
        <v>0</v>
      </c>
    </row>
    <row r="68" spans="1:4" x14ac:dyDescent="0.25">
      <c r="B68" t="s">
        <v>137</v>
      </c>
      <c r="C68" s="69">
        <v>75849345</v>
      </c>
      <c r="D68" s="69">
        <v>75849345</v>
      </c>
    </row>
    <row r="69" spans="1:4" x14ac:dyDescent="0.25">
      <c r="A69" t="s">
        <v>172</v>
      </c>
      <c r="C69" s="69">
        <v>93743595</v>
      </c>
      <c r="D69" s="69">
        <v>75849345</v>
      </c>
    </row>
    <row r="70" spans="1:4" x14ac:dyDescent="0.25">
      <c r="A70" t="s">
        <v>155</v>
      </c>
      <c r="B70" t="s">
        <v>89</v>
      </c>
      <c r="C70" s="69">
        <v>18042750</v>
      </c>
      <c r="D70" s="69">
        <v>0</v>
      </c>
    </row>
    <row r="71" spans="1:4" x14ac:dyDescent="0.25">
      <c r="A71" t="s">
        <v>173</v>
      </c>
      <c r="C71" s="69">
        <v>18042750</v>
      </c>
      <c r="D71" s="69">
        <v>0</v>
      </c>
    </row>
    <row r="72" spans="1:4" x14ac:dyDescent="0.25">
      <c r="A72" t="s">
        <v>156</v>
      </c>
      <c r="B72" t="s">
        <v>100</v>
      </c>
      <c r="C72" s="69">
        <v>17894250</v>
      </c>
      <c r="D72" s="69">
        <v>0</v>
      </c>
    </row>
    <row r="73" spans="1:4" x14ac:dyDescent="0.25">
      <c r="A73" t="s">
        <v>174</v>
      </c>
      <c r="C73" s="69">
        <v>17894250</v>
      </c>
      <c r="D73" s="69">
        <v>0</v>
      </c>
    </row>
    <row r="74" spans="1:4" x14ac:dyDescent="0.25">
      <c r="A74" t="s">
        <v>157</v>
      </c>
      <c r="B74" t="s">
        <v>110</v>
      </c>
      <c r="C74" s="69">
        <v>18042750</v>
      </c>
      <c r="D74" s="69">
        <v>0</v>
      </c>
    </row>
    <row r="75" spans="1:4" x14ac:dyDescent="0.25">
      <c r="A75" t="s">
        <v>175</v>
      </c>
      <c r="C75" s="69">
        <v>18042750</v>
      </c>
      <c r="D75" s="69">
        <v>0</v>
      </c>
    </row>
    <row r="76" spans="1:4" x14ac:dyDescent="0.25">
      <c r="A76" t="s">
        <v>158</v>
      </c>
      <c r="B76" t="s">
        <v>126</v>
      </c>
      <c r="C76" s="69">
        <v>17894250</v>
      </c>
      <c r="D76" s="69">
        <v>17894250</v>
      </c>
    </row>
    <row r="77" spans="1:4" x14ac:dyDescent="0.25">
      <c r="A77" t="s">
        <v>176</v>
      </c>
      <c r="C77" s="69">
        <v>17894250</v>
      </c>
      <c r="D77" s="69">
        <v>17894250</v>
      </c>
    </row>
    <row r="78" spans="1:4" x14ac:dyDescent="0.25">
      <c r="A78" t="s">
        <v>51</v>
      </c>
      <c r="B78" t="s">
        <v>52</v>
      </c>
      <c r="C78" s="69">
        <v>41866699.619999997</v>
      </c>
      <c r="D78" s="69">
        <v>-0.10000000149011612</v>
      </c>
    </row>
    <row r="79" spans="1:4" x14ac:dyDescent="0.25">
      <c r="B79" t="s">
        <v>84</v>
      </c>
      <c r="C79" s="69">
        <v>62800050.399999999</v>
      </c>
      <c r="D79" s="69">
        <v>0</v>
      </c>
    </row>
    <row r="80" spans="1:4" x14ac:dyDescent="0.25">
      <c r="B80" t="s">
        <v>85</v>
      </c>
      <c r="C80" s="69">
        <v>62800050.399999999</v>
      </c>
      <c r="D80" s="69">
        <v>0</v>
      </c>
    </row>
    <row r="81" spans="1:4" x14ac:dyDescent="0.25">
      <c r="B81" t="s">
        <v>99</v>
      </c>
      <c r="C81" s="69">
        <v>62800050.399999999</v>
      </c>
      <c r="D81" s="69">
        <v>0</v>
      </c>
    </row>
    <row r="82" spans="1:4" x14ac:dyDescent="0.25">
      <c r="B82" t="s">
        <v>106</v>
      </c>
      <c r="C82" s="69">
        <v>125600100.8</v>
      </c>
      <c r="D82" s="69">
        <v>125600100.8</v>
      </c>
    </row>
    <row r="83" spans="1:4" x14ac:dyDescent="0.25">
      <c r="A83" t="s">
        <v>177</v>
      </c>
      <c r="C83" s="69">
        <v>355866951.62</v>
      </c>
      <c r="D83" s="69">
        <v>125600100.69999999</v>
      </c>
    </row>
    <row r="84" spans="1:4" x14ac:dyDescent="0.25">
      <c r="A84" t="s">
        <v>90</v>
      </c>
      <c r="B84" t="s">
        <v>92</v>
      </c>
      <c r="C84" s="69">
        <v>12500000.060000001</v>
      </c>
      <c r="D84" s="69">
        <v>-0.29999999888241291</v>
      </c>
    </row>
    <row r="85" spans="1:4" x14ac:dyDescent="0.25">
      <c r="B85" t="s">
        <v>124</v>
      </c>
      <c r="C85" s="69">
        <v>12500000.060000001</v>
      </c>
      <c r="D85" s="69">
        <v>12500000.060000001</v>
      </c>
    </row>
    <row r="86" spans="1:4" x14ac:dyDescent="0.25">
      <c r="A86" t="s">
        <v>178</v>
      </c>
      <c r="C86" s="69">
        <v>25000000.120000001</v>
      </c>
      <c r="D86" s="69">
        <v>12499999.760000002</v>
      </c>
    </row>
    <row r="87" spans="1:4" x14ac:dyDescent="0.25">
      <c r="A87" t="s">
        <v>114</v>
      </c>
      <c r="B87" t="s">
        <v>130</v>
      </c>
      <c r="C87" s="69">
        <v>214176042.63</v>
      </c>
      <c r="D87" s="69">
        <v>214176042.63</v>
      </c>
    </row>
    <row r="88" spans="1:4" x14ac:dyDescent="0.25">
      <c r="B88" t="s">
        <v>132</v>
      </c>
      <c r="C88" s="69">
        <v>21000000.449999999</v>
      </c>
      <c r="D88" s="69">
        <v>21000000.449999999</v>
      </c>
    </row>
    <row r="89" spans="1:4" x14ac:dyDescent="0.25">
      <c r="A89" t="s">
        <v>179</v>
      </c>
      <c r="C89" s="69">
        <v>235176043.07999998</v>
      </c>
      <c r="D89" s="69">
        <v>235176043.07999998</v>
      </c>
    </row>
    <row r="90" spans="1:4" x14ac:dyDescent="0.25">
      <c r="A90" t="s">
        <v>152</v>
      </c>
      <c r="B90" t="s">
        <v>160</v>
      </c>
      <c r="C90" s="69"/>
      <c r="D90" s="69"/>
    </row>
    <row r="91" spans="1:4" x14ac:dyDescent="0.25">
      <c r="A91" t="s">
        <v>180</v>
      </c>
      <c r="C91" s="69"/>
      <c r="D91" s="69"/>
    </row>
    <row r="92" spans="1:4" x14ac:dyDescent="0.25">
      <c r="A92" t="s">
        <v>151</v>
      </c>
      <c r="B92" t="s">
        <v>160</v>
      </c>
      <c r="C92" s="69"/>
      <c r="D92" s="69"/>
    </row>
    <row r="93" spans="1:4" x14ac:dyDescent="0.25">
      <c r="A93" t="s">
        <v>181</v>
      </c>
      <c r="C93" s="69"/>
      <c r="D93" s="69"/>
    </row>
    <row r="94" spans="1:4" x14ac:dyDescent="0.25">
      <c r="A94" t="s">
        <v>101</v>
      </c>
      <c r="B94" t="s">
        <v>102</v>
      </c>
      <c r="C94" s="69">
        <v>15277500</v>
      </c>
      <c r="D94" s="69">
        <v>0</v>
      </c>
    </row>
    <row r="95" spans="1:4" x14ac:dyDescent="0.25">
      <c r="B95" t="s">
        <v>108</v>
      </c>
      <c r="C95" s="69">
        <v>2037000</v>
      </c>
      <c r="D95" s="69">
        <v>2037000</v>
      </c>
    </row>
    <row r="96" spans="1:4" x14ac:dyDescent="0.25">
      <c r="B96" t="s">
        <v>112</v>
      </c>
      <c r="C96" s="69">
        <v>2037000</v>
      </c>
      <c r="D96" s="69">
        <v>2037000</v>
      </c>
    </row>
    <row r="97" spans="1:4" x14ac:dyDescent="0.25">
      <c r="B97" t="s">
        <v>149</v>
      </c>
      <c r="C97" s="69">
        <v>2037000</v>
      </c>
      <c r="D97" s="69">
        <v>2037000</v>
      </c>
    </row>
    <row r="98" spans="1:4" x14ac:dyDescent="0.25">
      <c r="A98" t="s">
        <v>182</v>
      </c>
      <c r="C98" s="69">
        <v>21388500</v>
      </c>
      <c r="D98" s="69">
        <v>6111000</v>
      </c>
    </row>
    <row r="99" spans="1:4" x14ac:dyDescent="0.25">
      <c r="A99" t="s">
        <v>159</v>
      </c>
      <c r="C99" s="69">
        <v>2365783457.9199996</v>
      </c>
      <c r="D99" s="69">
        <v>644149122.12000012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C7BA6-D4D3-4096-BB60-2646423F63A3}">
  <dimension ref="B2:M36"/>
  <sheetViews>
    <sheetView showGridLines="0" workbookViewId="0">
      <selection activeCell="M17" sqref="M17"/>
    </sheetView>
  </sheetViews>
  <sheetFormatPr baseColWidth="10" defaultColWidth="11.42578125" defaultRowHeight="15" x14ac:dyDescent="0.35"/>
  <cols>
    <col min="1" max="1" width="7.85546875" style="38" customWidth="1"/>
    <col min="2" max="2" width="27.7109375" style="38" customWidth="1"/>
    <col min="3" max="3" width="14.28515625" style="38" customWidth="1"/>
    <col min="4" max="4" width="8.42578125" style="38" customWidth="1"/>
    <col min="5" max="5" width="7.5703125" style="38" customWidth="1"/>
    <col min="6" max="6" width="13.28515625" style="38" customWidth="1"/>
    <col min="7" max="7" width="14" style="38" customWidth="1"/>
    <col min="8" max="8" width="14.42578125" style="38" customWidth="1"/>
    <col min="9" max="9" width="13.28515625" style="38" customWidth="1"/>
    <col min="10" max="10" width="14.28515625" style="39" customWidth="1"/>
    <col min="11" max="11" width="11.42578125" style="38"/>
    <col min="12" max="12" width="12.5703125" style="38" bestFit="1" customWidth="1"/>
    <col min="13" max="13" width="17" style="38" bestFit="1" customWidth="1"/>
    <col min="14" max="16384" width="11.42578125" style="38"/>
  </cols>
  <sheetData>
    <row r="2" spans="2:13" ht="6" customHeight="1" x14ac:dyDescent="0.35"/>
    <row r="3" spans="2:13" ht="24.75" customHeight="1" x14ac:dyDescent="0.35">
      <c r="B3" s="297" t="s">
        <v>142</v>
      </c>
      <c r="C3" s="297"/>
      <c r="D3" s="297"/>
      <c r="E3" s="297"/>
      <c r="F3" s="297"/>
      <c r="G3" s="297"/>
      <c r="H3" s="297"/>
      <c r="I3" s="297"/>
      <c r="J3" s="297"/>
    </row>
    <row r="4" spans="2:13" ht="6" hidden="1" customHeight="1" x14ac:dyDescent="0.35"/>
    <row r="5" spans="2:13" ht="6" hidden="1" customHeight="1" x14ac:dyDescent="0.35"/>
    <row r="6" spans="2:13" ht="6" customHeight="1" x14ac:dyDescent="0.35"/>
    <row r="7" spans="2:13" s="43" customFormat="1" ht="28.5" customHeight="1" x14ac:dyDescent="0.35">
      <c r="B7" s="40" t="s">
        <v>10</v>
      </c>
      <c r="C7" s="40" t="s">
        <v>117</v>
      </c>
      <c r="D7" s="40" t="s">
        <v>128</v>
      </c>
      <c r="E7" s="40" t="s">
        <v>129</v>
      </c>
      <c r="F7" s="40" t="s">
        <v>127</v>
      </c>
      <c r="G7" s="41" t="s">
        <v>115</v>
      </c>
      <c r="H7" s="41" t="s">
        <v>140</v>
      </c>
      <c r="I7" s="41" t="s">
        <v>141</v>
      </c>
      <c r="J7" s="42" t="s">
        <v>116</v>
      </c>
    </row>
    <row r="8" spans="2:13" s="49" customFormat="1" ht="26.25" customHeight="1" x14ac:dyDescent="0.35">
      <c r="B8" s="44" t="s">
        <v>143</v>
      </c>
      <c r="C8" s="45"/>
      <c r="D8" s="45"/>
      <c r="E8" s="45"/>
      <c r="F8" s="45"/>
      <c r="G8" s="46"/>
      <c r="H8" s="46"/>
      <c r="I8" s="47">
        <v>49500007</v>
      </c>
      <c r="J8" s="48"/>
    </row>
    <row r="9" spans="2:13" s="49" customFormat="1" ht="26.25" customHeight="1" x14ac:dyDescent="0.35">
      <c r="B9" s="44" t="s">
        <v>144</v>
      </c>
      <c r="C9" s="45"/>
      <c r="D9" s="45"/>
      <c r="E9" s="45"/>
      <c r="F9" s="45"/>
      <c r="G9" s="46"/>
      <c r="H9" s="46"/>
      <c r="I9" s="47">
        <v>20664000</v>
      </c>
      <c r="J9" s="48"/>
    </row>
    <row r="10" spans="2:13" ht="26.25" customHeight="1" x14ac:dyDescent="0.35">
      <c r="B10" s="50" t="s">
        <v>118</v>
      </c>
      <c r="C10" s="51">
        <v>1287900000</v>
      </c>
      <c r="D10" s="52">
        <v>45096</v>
      </c>
      <c r="E10" s="51">
        <v>24</v>
      </c>
      <c r="F10" s="52">
        <v>45809</v>
      </c>
      <c r="G10" s="47">
        <f>+'ETAT DES FACTURATIONS GLOBALES'!K46</f>
        <v>305931576</v>
      </c>
      <c r="H10" s="47">
        <f>'ETAT DES FACTURATIONS GLOBALES'!O46</f>
        <v>305931575.62</v>
      </c>
      <c r="I10" s="47">
        <f>G10-H10</f>
        <v>0.37999999523162842</v>
      </c>
      <c r="J10" s="47">
        <f>+C10-G10</f>
        <v>981968424</v>
      </c>
    </row>
    <row r="11" spans="2:13" s="54" customFormat="1" ht="26.25" customHeight="1" x14ac:dyDescent="0.35">
      <c r="B11" s="50" t="s">
        <v>119</v>
      </c>
      <c r="C11" s="51">
        <f>1120900000*30.5%</f>
        <v>341874500</v>
      </c>
      <c r="D11" s="52">
        <v>45187</v>
      </c>
      <c r="E11" s="51">
        <v>19</v>
      </c>
      <c r="F11" s="52">
        <v>45778</v>
      </c>
      <c r="G11" s="47">
        <f>+'ETAT DES FACTURATIONS GLOBALES'!K70</f>
        <v>67691151</v>
      </c>
      <c r="H11" s="47">
        <f>'ETAT DES FACTURATIONS GLOBALES'!O70</f>
        <v>73297892.799999997</v>
      </c>
      <c r="I11" s="47">
        <f t="shared" ref="I11:I17" si="0">G11-H11</f>
        <v>-5606741.799999997</v>
      </c>
      <c r="J11" s="53">
        <f t="shared" ref="J11:J17" si="1">+C11-G11</f>
        <v>274183349</v>
      </c>
      <c r="L11" s="55"/>
      <c r="M11" s="56"/>
    </row>
    <row r="12" spans="2:13" ht="26.25" customHeight="1" x14ac:dyDescent="0.35">
      <c r="B12" s="50" t="s">
        <v>120</v>
      </c>
      <c r="C12" s="51">
        <v>549000000</v>
      </c>
      <c r="D12" s="52">
        <v>45335</v>
      </c>
      <c r="E12" s="51">
        <v>24</v>
      </c>
      <c r="F12" s="52">
        <v>46023</v>
      </c>
      <c r="G12" s="47">
        <f>+'ETAT DES FACTURATIONS GLOBALES'!K89</f>
        <v>108702000</v>
      </c>
      <c r="H12" s="47">
        <f>'ETAT DES FACTURATIONS GLOBALES'!O89</f>
        <v>108702000</v>
      </c>
      <c r="I12" s="47">
        <f t="shared" si="0"/>
        <v>0</v>
      </c>
      <c r="J12" s="47">
        <f t="shared" si="1"/>
        <v>440298000</v>
      </c>
      <c r="M12" s="56"/>
    </row>
    <row r="13" spans="2:13" s="58" customFormat="1" ht="26.25" customHeight="1" x14ac:dyDescent="0.35">
      <c r="B13" s="50" t="s">
        <v>121</v>
      </c>
      <c r="C13" s="51">
        <v>333000000</v>
      </c>
      <c r="D13" s="52">
        <v>45446</v>
      </c>
      <c r="E13" s="51">
        <v>24</v>
      </c>
      <c r="F13" s="52">
        <v>46143</v>
      </c>
      <c r="G13" s="57">
        <f>'ETAT DES FACTURATIONS GLOBALES'!K103</f>
        <v>0</v>
      </c>
      <c r="H13" s="57">
        <f>'ETAT DES FACTURATIONS GLOBALES'!O103</f>
        <v>0</v>
      </c>
      <c r="I13" s="47">
        <f t="shared" si="0"/>
        <v>0</v>
      </c>
      <c r="J13" s="47">
        <f t="shared" si="1"/>
        <v>333000000</v>
      </c>
      <c r="M13" s="56"/>
    </row>
    <row r="14" spans="2:13" ht="26.25" customHeight="1" x14ac:dyDescent="0.35">
      <c r="B14" s="50" t="s">
        <v>122</v>
      </c>
      <c r="C14" s="51">
        <v>418667000</v>
      </c>
      <c r="D14" s="52">
        <v>45450</v>
      </c>
      <c r="E14" s="51">
        <v>6</v>
      </c>
      <c r="F14" s="52">
        <v>45627</v>
      </c>
      <c r="G14" s="47">
        <f>+'ETAT DES FACTURATIONS GLOBALES'!K110</f>
        <v>0</v>
      </c>
      <c r="H14" s="47">
        <f>'ETAT DES FACTURATIONS GLOBALES'!O110</f>
        <v>0</v>
      </c>
      <c r="I14" s="47">
        <f t="shared" si="0"/>
        <v>0</v>
      </c>
      <c r="J14" s="47">
        <f t="shared" si="1"/>
        <v>418667000</v>
      </c>
      <c r="M14" s="56"/>
    </row>
    <row r="15" spans="2:13" ht="26.25" customHeight="1" x14ac:dyDescent="0.35">
      <c r="B15" s="50" t="s">
        <v>123</v>
      </c>
      <c r="C15" s="51">
        <v>25000000</v>
      </c>
      <c r="D15" s="52">
        <v>45503</v>
      </c>
      <c r="E15" s="51">
        <v>3</v>
      </c>
      <c r="F15" s="52">
        <v>45566</v>
      </c>
      <c r="G15" s="53">
        <f>+'ETAT DES FACTURATIONS GLOBALES'!K113</f>
        <v>25000000.120000001</v>
      </c>
      <c r="H15" s="53">
        <f>'ETAT DES FACTURATIONS GLOBALES'!O113</f>
        <v>25000000.719999999</v>
      </c>
      <c r="I15" s="47">
        <f t="shared" si="0"/>
        <v>-0.59999999776482582</v>
      </c>
      <c r="J15" s="47">
        <f t="shared" si="1"/>
        <v>-0.12000000104308128</v>
      </c>
      <c r="M15" s="56"/>
    </row>
    <row r="16" spans="2:13" s="58" customFormat="1" ht="26.25" customHeight="1" x14ac:dyDescent="0.35">
      <c r="B16" s="50" t="s">
        <v>101</v>
      </c>
      <c r="C16" s="51">
        <v>31282500</v>
      </c>
      <c r="D16" s="52">
        <v>45275</v>
      </c>
      <c r="E16" s="51">
        <v>12</v>
      </c>
      <c r="F16" s="52">
        <v>45627</v>
      </c>
      <c r="G16" s="59">
        <f>+'ETAT DES FACTURATIONS GLOBALES'!K125</f>
        <v>0</v>
      </c>
      <c r="H16" s="59">
        <f>'ETAT DES FACTURATIONS GLOBALES'!O125</f>
        <v>0</v>
      </c>
      <c r="I16" s="47">
        <f t="shared" si="0"/>
        <v>0</v>
      </c>
      <c r="J16" s="59">
        <f t="shared" si="1"/>
        <v>31282500</v>
      </c>
      <c r="M16" s="56"/>
    </row>
    <row r="17" spans="2:13" ht="26.25" customHeight="1" x14ac:dyDescent="0.35">
      <c r="B17" s="50" t="s">
        <v>139</v>
      </c>
      <c r="C17" s="51">
        <f>(1030187794*30%)+21000000</f>
        <v>330056338.19999999</v>
      </c>
      <c r="D17" s="52">
        <v>45364</v>
      </c>
      <c r="E17" s="51">
        <v>6</v>
      </c>
      <c r="F17" s="52">
        <v>45536</v>
      </c>
      <c r="G17" s="60">
        <f>'ETAT DES FACTURATIONS GLOBALES'!K130</f>
        <v>0</v>
      </c>
      <c r="H17" s="60">
        <f>'ETAT DES FACTURATIONS GLOBALES'!O130</f>
        <v>0</v>
      </c>
      <c r="I17" s="47">
        <f t="shared" si="0"/>
        <v>0</v>
      </c>
      <c r="J17" s="59">
        <f t="shared" si="1"/>
        <v>330056338.19999999</v>
      </c>
      <c r="M17" s="56"/>
    </row>
    <row r="18" spans="2:13" ht="26.25" customHeight="1" x14ac:dyDescent="0.35">
      <c r="B18" s="50" t="s">
        <v>145</v>
      </c>
      <c r="C18" s="51">
        <v>235374600</v>
      </c>
      <c r="D18" s="52"/>
      <c r="E18" s="51">
        <v>21</v>
      </c>
      <c r="F18" s="52"/>
      <c r="G18" s="60"/>
      <c r="H18" s="60"/>
      <c r="I18" s="47"/>
      <c r="J18" s="59"/>
      <c r="M18" s="56"/>
    </row>
    <row r="19" spans="2:13" ht="26.25" customHeight="1" x14ac:dyDescent="0.35">
      <c r="B19" s="61" t="s">
        <v>0</v>
      </c>
      <c r="C19" s="62">
        <f>SUM(C10:C18)</f>
        <v>3552154938.1999998</v>
      </c>
      <c r="D19" s="63"/>
      <c r="E19" s="63"/>
      <c r="F19" s="63"/>
      <c r="G19" s="62">
        <f>SUM(G8:G17)</f>
        <v>507324727.12</v>
      </c>
      <c r="H19" s="62">
        <f t="shared" ref="H19:J19" si="2">SUM(H8:H17)</f>
        <v>512931469.13999999</v>
      </c>
      <c r="I19" s="62">
        <f t="shared" si="2"/>
        <v>64557264.980000004</v>
      </c>
      <c r="J19" s="62">
        <f t="shared" si="2"/>
        <v>2809455611.0799999</v>
      </c>
      <c r="M19" s="56"/>
    </row>
    <row r="20" spans="2:13" ht="26.25" customHeight="1" x14ac:dyDescent="0.35">
      <c r="M20" s="56"/>
    </row>
    <row r="21" spans="2:13" x14ac:dyDescent="0.35">
      <c r="M21" s="56"/>
    </row>
    <row r="22" spans="2:13" x14ac:dyDescent="0.35">
      <c r="H22" s="38" t="s">
        <v>147</v>
      </c>
      <c r="I22" s="64">
        <f>I19/G19</f>
        <v>0.12725038132180369</v>
      </c>
      <c r="J22" s="39" t="s">
        <v>148</v>
      </c>
      <c r="K22" s="65">
        <f>1-I22</f>
        <v>0.87274961867819634</v>
      </c>
      <c r="M22" s="56"/>
    </row>
    <row r="23" spans="2:13" x14ac:dyDescent="0.35">
      <c r="H23" s="64"/>
      <c r="I23" s="64"/>
      <c r="M23" s="56"/>
    </row>
    <row r="24" spans="2:13" x14ac:dyDescent="0.35">
      <c r="H24" s="38" t="s">
        <v>146</v>
      </c>
      <c r="I24" s="64">
        <f>J19/C19</f>
        <v>0.79091584121712</v>
      </c>
      <c r="M24" s="56"/>
    </row>
    <row r="25" spans="2:13" x14ac:dyDescent="0.35">
      <c r="M25" s="56"/>
    </row>
    <row r="26" spans="2:13" x14ac:dyDescent="0.35">
      <c r="M26" s="56"/>
    </row>
    <row r="27" spans="2:13" x14ac:dyDescent="0.35">
      <c r="M27" s="56"/>
    </row>
    <row r="28" spans="2:13" x14ac:dyDescent="0.35">
      <c r="M28" s="56"/>
    </row>
    <row r="29" spans="2:13" x14ac:dyDescent="0.35">
      <c r="M29" s="56"/>
    </row>
    <row r="30" spans="2:13" x14ac:dyDescent="0.35">
      <c r="M30" s="56"/>
    </row>
    <row r="31" spans="2:13" x14ac:dyDescent="0.35">
      <c r="M31" s="56"/>
    </row>
    <row r="32" spans="2:13" x14ac:dyDescent="0.35">
      <c r="M32" s="56"/>
    </row>
    <row r="33" spans="13:13" x14ac:dyDescent="0.35">
      <c r="M33" s="56"/>
    </row>
    <row r="34" spans="13:13" x14ac:dyDescent="0.35">
      <c r="M34" s="56"/>
    </row>
    <row r="35" spans="13:13" x14ac:dyDescent="0.35">
      <c r="M35" s="56"/>
    </row>
    <row r="36" spans="13:13" x14ac:dyDescent="0.35">
      <c r="M36" s="56"/>
    </row>
  </sheetData>
  <mergeCells count="1">
    <mergeCell ref="B3:J3"/>
  </mergeCells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1EF56-9D63-436B-9320-22DBAACC08CA}">
  <sheetPr>
    <tabColor rgb="FFFF0000"/>
  </sheetPr>
  <dimension ref="B1:S90"/>
  <sheetViews>
    <sheetView showGridLines="0" workbookViewId="0">
      <selection activeCell="D15" sqref="D15"/>
    </sheetView>
  </sheetViews>
  <sheetFormatPr baseColWidth="10" defaultColWidth="11.5703125" defaultRowHeight="16.5" x14ac:dyDescent="0.25"/>
  <cols>
    <col min="1" max="1" width="1.7109375" style="78" customWidth="1"/>
    <col min="2" max="2" width="5.140625" style="79" customWidth="1"/>
    <col min="3" max="3" width="6.5703125" style="78" customWidth="1"/>
    <col min="4" max="4" width="30.42578125" style="78" customWidth="1"/>
    <col min="5" max="5" width="40" style="78" customWidth="1"/>
    <col min="6" max="6" width="13.7109375" style="78" customWidth="1"/>
    <col min="7" max="8" width="14.5703125" style="78" customWidth="1"/>
    <col min="9" max="9" width="15.5703125" style="78" customWidth="1"/>
    <col min="10" max="13" width="14.28515625" style="78" customWidth="1"/>
    <col min="14" max="14" width="16.140625" style="78" customWidth="1"/>
    <col min="15" max="15" width="14.28515625" style="78" customWidth="1"/>
    <col min="16" max="16" width="13.7109375" style="78" customWidth="1"/>
    <col min="17" max="18" width="9.7109375" style="78" customWidth="1"/>
    <col min="19" max="19" width="11.42578125" style="78" customWidth="1"/>
    <col min="20" max="16384" width="11.5703125" style="78"/>
  </cols>
  <sheetData>
    <row r="1" spans="2:19" ht="6.75" customHeight="1" thickBot="1" x14ac:dyDescent="0.3"/>
    <row r="2" spans="2:19" ht="24.6" customHeight="1" thickBot="1" x14ac:dyDescent="0.3">
      <c r="B2" s="319" t="s">
        <v>242</v>
      </c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1"/>
    </row>
    <row r="3" spans="2:19" ht="6.75" customHeight="1" thickBot="1" x14ac:dyDescent="0.3"/>
    <row r="4" spans="2:19" ht="15.6" customHeight="1" thickBot="1" x14ac:dyDescent="0.3">
      <c r="B4" s="322" t="s">
        <v>243</v>
      </c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3"/>
      <c r="Q4" s="323"/>
      <c r="R4" s="323"/>
      <c r="S4" s="324"/>
    </row>
    <row r="5" spans="2:19" ht="7.9" customHeight="1" thickBot="1" x14ac:dyDescent="0.3"/>
    <row r="6" spans="2:19" s="83" customFormat="1" ht="31.15" customHeight="1" thickBot="1" x14ac:dyDescent="0.3">
      <c r="B6" s="80" t="s">
        <v>244</v>
      </c>
      <c r="C6" s="81" t="s">
        <v>245</v>
      </c>
      <c r="D6" s="81"/>
      <c r="E6" s="81" t="s">
        <v>246</v>
      </c>
      <c r="F6" s="81" t="s">
        <v>247</v>
      </c>
      <c r="G6" s="81" t="s">
        <v>248</v>
      </c>
      <c r="H6" s="81" t="s">
        <v>249</v>
      </c>
      <c r="I6" s="140" t="s">
        <v>250</v>
      </c>
      <c r="J6" s="81" t="s">
        <v>251</v>
      </c>
      <c r="K6" s="81" t="s">
        <v>252</v>
      </c>
      <c r="L6" s="140" t="s">
        <v>253</v>
      </c>
      <c r="M6" s="81" t="s">
        <v>254</v>
      </c>
      <c r="N6" s="81" t="s">
        <v>255</v>
      </c>
      <c r="O6" s="81" t="s">
        <v>256</v>
      </c>
      <c r="P6" s="140" t="s">
        <v>257</v>
      </c>
      <c r="Q6" s="140" t="s">
        <v>258</v>
      </c>
      <c r="R6" s="140" t="s">
        <v>259</v>
      </c>
      <c r="S6" s="82" t="s">
        <v>260</v>
      </c>
    </row>
    <row r="7" spans="2:19" s="184" customFormat="1" x14ac:dyDescent="0.25">
      <c r="B7" s="176">
        <v>1</v>
      </c>
      <c r="C7" s="177">
        <v>2022</v>
      </c>
      <c r="D7" s="177"/>
      <c r="E7" s="178" t="s">
        <v>270</v>
      </c>
      <c r="F7" s="179">
        <v>15375000</v>
      </c>
      <c r="G7" s="179">
        <v>0</v>
      </c>
      <c r="H7" s="179">
        <v>0</v>
      </c>
      <c r="I7" s="180">
        <f t="shared" ref="I7:I64" si="0">+IFERROR(H7/(IF(G7=0,F7,G7)),0)</f>
        <v>0</v>
      </c>
      <c r="J7" s="179" t="e">
        <f>+#REF!</f>
        <v>#REF!</v>
      </c>
      <c r="K7" s="179" t="e">
        <f>+#REF!</f>
        <v>#REF!</v>
      </c>
      <c r="L7" s="179" t="e">
        <f t="shared" ref="L7:L64" si="1">+J7-K7</f>
        <v>#REF!</v>
      </c>
      <c r="M7" s="181">
        <v>44676</v>
      </c>
      <c r="N7" s="181">
        <v>44722</v>
      </c>
      <c r="O7" s="181">
        <v>44722</v>
      </c>
      <c r="P7" s="182">
        <f t="shared" ref="P7:P64" si="2">IFERROR(IF(S7="Terminé",1,(O7-M7+1)/(N7-M7)),0)</f>
        <v>1</v>
      </c>
      <c r="Q7" s="182">
        <f t="shared" ref="Q7:Q64" si="3">IFERROR(J7/F7,0)</f>
        <v>0</v>
      </c>
      <c r="R7" s="182">
        <f t="shared" ref="R7:R64" si="4">IFERROR(K7/J7,0)</f>
        <v>0</v>
      </c>
      <c r="S7" s="183" t="s">
        <v>265</v>
      </c>
    </row>
    <row r="8" spans="2:19" s="184" customFormat="1" x14ac:dyDescent="0.25">
      <c r="B8" s="176">
        <v>2</v>
      </c>
      <c r="C8" s="185">
        <v>2022</v>
      </c>
      <c r="D8" s="185"/>
      <c r="E8" s="186" t="s">
        <v>271</v>
      </c>
      <c r="F8" s="187">
        <v>25000000</v>
      </c>
      <c r="G8" s="187">
        <v>0</v>
      </c>
      <c r="H8" s="187">
        <v>0</v>
      </c>
      <c r="I8" s="188">
        <f t="shared" si="0"/>
        <v>0</v>
      </c>
      <c r="J8" s="187">
        <f>+'ETAT DES FACTURATIONS GLOBALES'!H7+'ETAT DES FACTURATIONS GLOBALES'!H8+'ETAT DES FACTURATIONS GLOBALES'!H9</f>
        <v>25000000</v>
      </c>
      <c r="K8" s="187">
        <f>+'ETAT DES FACTURATIONS GLOBALES'!N7+'ETAT DES FACTURATIONS GLOBALES'!N8+'ETAT DES FACTURATIONS GLOBALES'!N9</f>
        <v>25000000</v>
      </c>
      <c r="L8" s="187">
        <f t="shared" si="1"/>
        <v>0</v>
      </c>
      <c r="M8" s="189">
        <v>44808</v>
      </c>
      <c r="N8" s="189">
        <v>44914</v>
      </c>
      <c r="O8" s="189">
        <v>44914</v>
      </c>
      <c r="P8" s="190">
        <f t="shared" si="2"/>
        <v>1</v>
      </c>
      <c r="Q8" s="190">
        <f t="shared" si="3"/>
        <v>1</v>
      </c>
      <c r="R8" s="190">
        <f t="shared" si="4"/>
        <v>1</v>
      </c>
      <c r="S8" s="191" t="s">
        <v>265</v>
      </c>
    </row>
    <row r="9" spans="2:19" x14ac:dyDescent="0.25">
      <c r="B9" s="84">
        <v>3</v>
      </c>
      <c r="C9" s="86">
        <v>2022</v>
      </c>
      <c r="D9" s="86" t="s">
        <v>272</v>
      </c>
      <c r="E9" s="87" t="s">
        <v>323</v>
      </c>
      <c r="F9" s="88">
        <v>17318000</v>
      </c>
      <c r="G9" s="88">
        <v>0</v>
      </c>
      <c r="H9" s="88">
        <v>0</v>
      </c>
      <c r="I9" s="141">
        <f t="shared" si="0"/>
        <v>0</v>
      </c>
      <c r="J9" s="88" t="e">
        <f>#REF!</f>
        <v>#REF!</v>
      </c>
      <c r="K9" s="88">
        <v>17318000</v>
      </c>
      <c r="L9" s="143" t="e">
        <f t="shared" si="1"/>
        <v>#REF!</v>
      </c>
      <c r="M9" s="89">
        <v>44750</v>
      </c>
      <c r="N9" s="89">
        <v>44842</v>
      </c>
      <c r="O9" s="89">
        <v>44842</v>
      </c>
      <c r="P9" s="145">
        <f t="shared" si="2"/>
        <v>1</v>
      </c>
      <c r="Q9" s="145">
        <f t="shared" si="3"/>
        <v>0</v>
      </c>
      <c r="R9" s="145">
        <f t="shared" si="4"/>
        <v>0</v>
      </c>
      <c r="S9" s="91" t="s">
        <v>265</v>
      </c>
    </row>
    <row r="10" spans="2:19" x14ac:dyDescent="0.25">
      <c r="B10" s="84"/>
      <c r="C10" s="86">
        <v>2023</v>
      </c>
      <c r="D10" s="86" t="s">
        <v>272</v>
      </c>
      <c r="E10" s="87" t="s">
        <v>324</v>
      </c>
      <c r="F10" s="88">
        <v>7422000</v>
      </c>
      <c r="G10" s="88"/>
      <c r="H10" s="88"/>
      <c r="I10" s="141"/>
      <c r="J10" s="88" t="e">
        <f>#REF!</f>
        <v>#REF!</v>
      </c>
      <c r="K10" s="88">
        <v>7422000</v>
      </c>
      <c r="L10" s="143"/>
      <c r="M10" s="89"/>
      <c r="N10" s="89"/>
      <c r="O10" s="89"/>
      <c r="P10" s="145"/>
      <c r="Q10" s="145"/>
      <c r="R10" s="145"/>
      <c r="S10" s="91"/>
    </row>
    <row r="11" spans="2:19" x14ac:dyDescent="0.25">
      <c r="B11" s="84">
        <v>4</v>
      </c>
      <c r="C11" s="86">
        <v>2022</v>
      </c>
      <c r="D11" s="86" t="s">
        <v>273</v>
      </c>
      <c r="E11" s="87" t="s">
        <v>322</v>
      </c>
      <c r="F11" s="88">
        <f>3300000*4/4</f>
        <v>3300000</v>
      </c>
      <c r="G11" s="88">
        <v>0</v>
      </c>
      <c r="H11" s="88">
        <v>0</v>
      </c>
      <c r="I11" s="141">
        <f t="shared" si="0"/>
        <v>0</v>
      </c>
      <c r="J11" s="88">
        <f>+'ETAT DES FACTURATIONS GLOBALES'!H20</f>
        <v>3300000</v>
      </c>
      <c r="K11" s="88">
        <f>+'ETAT DES FACTURATIONS GLOBALES'!N20</f>
        <v>3300000</v>
      </c>
      <c r="L11" s="143">
        <f t="shared" si="1"/>
        <v>0</v>
      </c>
      <c r="M11" s="89">
        <v>44902</v>
      </c>
      <c r="N11" s="89">
        <v>45023</v>
      </c>
      <c r="O11" s="89">
        <v>45023</v>
      </c>
      <c r="P11" s="145">
        <f t="shared" si="2"/>
        <v>1</v>
      </c>
      <c r="Q11" s="145">
        <f t="shared" si="3"/>
        <v>1</v>
      </c>
      <c r="R11" s="145">
        <f t="shared" si="4"/>
        <v>1</v>
      </c>
      <c r="S11" s="91" t="s">
        <v>265</v>
      </c>
    </row>
    <row r="12" spans="2:19" x14ac:dyDescent="0.25">
      <c r="B12" s="84">
        <v>5</v>
      </c>
      <c r="C12" s="86">
        <v>2022</v>
      </c>
      <c r="D12" s="86" t="s">
        <v>274</v>
      </c>
      <c r="E12" s="87" t="s">
        <v>325</v>
      </c>
      <c r="F12" s="88">
        <v>12000000</v>
      </c>
      <c r="G12" s="88">
        <v>0</v>
      </c>
      <c r="H12" s="88">
        <v>0</v>
      </c>
      <c r="I12" s="141">
        <f t="shared" si="0"/>
        <v>0</v>
      </c>
      <c r="J12" s="88">
        <v>12000000</v>
      </c>
      <c r="K12" s="88">
        <v>12000000</v>
      </c>
      <c r="L12" s="143">
        <f t="shared" si="1"/>
        <v>0</v>
      </c>
      <c r="M12" s="89">
        <v>44868</v>
      </c>
      <c r="N12" s="89">
        <v>44960</v>
      </c>
      <c r="O12" s="89">
        <v>44960</v>
      </c>
      <c r="P12" s="145">
        <f t="shared" si="2"/>
        <v>1</v>
      </c>
      <c r="Q12" s="145">
        <f t="shared" si="3"/>
        <v>1</v>
      </c>
      <c r="R12" s="145">
        <f t="shared" si="4"/>
        <v>1</v>
      </c>
      <c r="S12" s="91" t="s">
        <v>265</v>
      </c>
    </row>
    <row r="13" spans="2:19" x14ac:dyDescent="0.25">
      <c r="B13" s="84"/>
      <c r="C13" s="86">
        <v>2023</v>
      </c>
      <c r="D13" s="86" t="s">
        <v>274</v>
      </c>
      <c r="E13" s="87" t="s">
        <v>326</v>
      </c>
      <c r="F13" s="88">
        <v>28000000</v>
      </c>
      <c r="G13" s="88"/>
      <c r="H13" s="88"/>
      <c r="I13" s="141"/>
      <c r="J13" s="88">
        <v>28000000</v>
      </c>
      <c r="K13" s="88">
        <v>28000000</v>
      </c>
      <c r="L13" s="143"/>
      <c r="M13" s="89"/>
      <c r="N13" s="89"/>
      <c r="O13" s="89"/>
      <c r="P13" s="145"/>
      <c r="Q13" s="145"/>
      <c r="R13" s="145"/>
      <c r="S13" s="91"/>
    </row>
    <row r="14" spans="2:19" x14ac:dyDescent="0.25">
      <c r="B14" s="84">
        <v>6</v>
      </c>
      <c r="C14" s="86">
        <v>2022</v>
      </c>
      <c r="D14" s="86" t="s">
        <v>275</v>
      </c>
      <c r="E14" s="87" t="s">
        <v>327</v>
      </c>
      <c r="F14" s="88">
        <v>6210000</v>
      </c>
      <c r="G14" s="88">
        <v>0</v>
      </c>
      <c r="H14" s="88">
        <v>0</v>
      </c>
      <c r="I14" s="141">
        <f t="shared" si="0"/>
        <v>0</v>
      </c>
      <c r="J14" s="88">
        <v>6210000</v>
      </c>
      <c r="K14" s="88">
        <v>6210000</v>
      </c>
      <c r="L14" s="143">
        <f t="shared" si="1"/>
        <v>0</v>
      </c>
      <c r="M14" s="89">
        <v>44904</v>
      </c>
      <c r="N14" s="89">
        <v>44994</v>
      </c>
      <c r="O14" s="89">
        <v>44994</v>
      </c>
      <c r="P14" s="145">
        <f t="shared" si="2"/>
        <v>1</v>
      </c>
      <c r="Q14" s="145">
        <f t="shared" si="3"/>
        <v>1</v>
      </c>
      <c r="R14" s="145">
        <f t="shared" si="4"/>
        <v>1</v>
      </c>
      <c r="S14" s="91" t="s">
        <v>265</v>
      </c>
    </row>
    <row r="15" spans="2:19" x14ac:dyDescent="0.25">
      <c r="B15" s="84"/>
      <c r="C15" s="86">
        <v>2023</v>
      </c>
      <c r="D15" s="86" t="s">
        <v>275</v>
      </c>
      <c r="E15" s="87" t="s">
        <v>328</v>
      </c>
      <c r="F15" s="88">
        <v>14490000</v>
      </c>
      <c r="G15" s="88"/>
      <c r="H15" s="88"/>
      <c r="I15" s="141"/>
      <c r="J15" s="88">
        <v>14490000</v>
      </c>
      <c r="K15" s="88">
        <v>14490000</v>
      </c>
      <c r="L15" s="143"/>
      <c r="M15" s="89"/>
      <c r="N15" s="89"/>
      <c r="O15" s="89"/>
      <c r="P15" s="145"/>
      <c r="Q15" s="145"/>
      <c r="R15" s="145"/>
      <c r="S15" s="91"/>
    </row>
    <row r="16" spans="2:19" x14ac:dyDescent="0.25">
      <c r="B16" s="84">
        <v>7</v>
      </c>
      <c r="C16" s="86">
        <v>2023</v>
      </c>
      <c r="D16" s="86" t="s">
        <v>261</v>
      </c>
      <c r="E16" s="87" t="s">
        <v>329</v>
      </c>
      <c r="F16" s="88">
        <f>(42044846*6)+(13277320*6)</f>
        <v>331932996</v>
      </c>
      <c r="G16" s="88">
        <f>+[2]BUDGET!$H$116</f>
        <v>693386525</v>
      </c>
      <c r="H16" s="88">
        <v>434346444</v>
      </c>
      <c r="I16" s="141">
        <f t="shared" si="0"/>
        <v>0.62641315967309863</v>
      </c>
      <c r="J16" s="88">
        <v>517815471</v>
      </c>
      <c r="K16" s="88">
        <v>517815471</v>
      </c>
      <c r="L16" s="143">
        <f t="shared" si="1"/>
        <v>0</v>
      </c>
      <c r="M16" s="89">
        <v>45096</v>
      </c>
      <c r="N16" s="89">
        <v>45827</v>
      </c>
      <c r="O16" s="89">
        <v>45676</v>
      </c>
      <c r="P16" s="145">
        <f t="shared" si="2"/>
        <v>0.79480164158686728</v>
      </c>
      <c r="Q16" s="145">
        <f t="shared" si="3"/>
        <v>1.5599999916850689</v>
      </c>
      <c r="R16" s="145">
        <f t="shared" si="4"/>
        <v>1</v>
      </c>
      <c r="S16" s="90" t="s">
        <v>262</v>
      </c>
    </row>
    <row r="17" spans="2:19" x14ac:dyDescent="0.25">
      <c r="B17" s="84"/>
      <c r="C17" s="86">
        <v>2024</v>
      </c>
      <c r="D17" s="86" t="s">
        <v>261</v>
      </c>
      <c r="E17" s="87" t="s">
        <v>330</v>
      </c>
      <c r="F17" s="88">
        <f>(42044846*12)+(13277320*12)</f>
        <v>663865992</v>
      </c>
      <c r="G17" s="88"/>
      <c r="H17" s="88"/>
      <c r="I17" s="141"/>
      <c r="J17" s="88">
        <f>42044846*12</f>
        <v>504538152</v>
      </c>
      <c r="K17" s="88">
        <f>(42044846*10)</f>
        <v>420448460</v>
      </c>
      <c r="L17" s="143">
        <f t="shared" si="1"/>
        <v>84089692</v>
      </c>
      <c r="M17" s="89"/>
      <c r="N17" s="89"/>
      <c r="O17" s="89"/>
      <c r="P17" s="145"/>
      <c r="Q17" s="145"/>
      <c r="R17" s="145"/>
      <c r="S17" s="90"/>
    </row>
    <row r="18" spans="2:19" x14ac:dyDescent="0.25">
      <c r="B18" s="84"/>
      <c r="C18" s="86">
        <v>2025</v>
      </c>
      <c r="D18" s="86" t="s">
        <v>261</v>
      </c>
      <c r="E18" s="87" t="s">
        <v>331</v>
      </c>
      <c r="F18" s="88">
        <f>(42044846*2)+(13277320*2)+(55322165*4)</f>
        <v>331932992</v>
      </c>
      <c r="G18" s="88"/>
      <c r="H18" s="88"/>
      <c r="I18" s="141"/>
      <c r="J18" s="88">
        <f>(42044846*1)</f>
        <v>42044846</v>
      </c>
      <c r="K18" s="88"/>
      <c r="L18" s="143">
        <f t="shared" si="1"/>
        <v>42044846</v>
      </c>
      <c r="M18" s="89"/>
      <c r="N18" s="89"/>
      <c r="O18" s="89"/>
      <c r="P18" s="145"/>
      <c r="Q18" s="145"/>
      <c r="R18" s="145"/>
      <c r="S18" s="90"/>
    </row>
    <row r="19" spans="2:19" s="165" customFormat="1" x14ac:dyDescent="0.25">
      <c r="B19" s="164">
        <v>8</v>
      </c>
      <c r="C19" s="166">
        <v>2024</v>
      </c>
      <c r="D19" s="166" t="s">
        <v>206</v>
      </c>
      <c r="E19" s="167" t="s">
        <v>336</v>
      </c>
      <c r="F19" s="92">
        <v>226529060</v>
      </c>
      <c r="G19" s="92">
        <f>+'[3]REVUE CE 27 JUIN'!$F$65</f>
        <v>182030000</v>
      </c>
      <c r="H19" s="92">
        <v>153392979</v>
      </c>
      <c r="I19" s="168">
        <f t="shared" si="0"/>
        <v>0.84267966269296268</v>
      </c>
      <c r="J19" s="92">
        <f>+'ETAT DES FACTURATIONS GLOBALES'!H70</f>
        <v>68374900</v>
      </c>
      <c r="K19" s="92">
        <f>+'ETAT DES FACTURATIONS GLOBALES'!N70</f>
        <v>73981641.799999997</v>
      </c>
      <c r="L19" s="92">
        <f t="shared" si="1"/>
        <v>-5606741.799999997</v>
      </c>
      <c r="M19" s="169">
        <v>45240</v>
      </c>
      <c r="N19" s="169">
        <v>45808</v>
      </c>
      <c r="O19" s="169">
        <v>45667</v>
      </c>
      <c r="P19" s="170">
        <f t="shared" si="2"/>
        <v>0.75352112676056338</v>
      </c>
      <c r="Q19" s="170">
        <f t="shared" si="3"/>
        <v>0.30183721240886269</v>
      </c>
      <c r="R19" s="170">
        <f t="shared" si="4"/>
        <v>1.0819999999999999</v>
      </c>
      <c r="S19" s="171" t="s">
        <v>262</v>
      </c>
    </row>
    <row r="20" spans="2:19" s="165" customFormat="1" x14ac:dyDescent="0.25">
      <c r="B20" s="164"/>
      <c r="C20" s="166">
        <v>2025</v>
      </c>
      <c r="D20" s="166" t="s">
        <v>206</v>
      </c>
      <c r="E20" s="167" t="s">
        <v>337</v>
      </c>
      <c r="F20" s="92">
        <f>341900000-226529060</f>
        <v>115370940</v>
      </c>
      <c r="G20" s="92"/>
      <c r="H20" s="92"/>
      <c r="I20" s="168"/>
      <c r="J20" s="92"/>
      <c r="K20" s="92"/>
      <c r="L20" s="92"/>
      <c r="M20" s="169"/>
      <c r="N20" s="169"/>
      <c r="O20" s="169"/>
      <c r="P20" s="170"/>
      <c r="Q20" s="170"/>
      <c r="R20" s="170"/>
      <c r="S20" s="171"/>
    </row>
    <row r="21" spans="2:19" ht="16.5" customHeight="1" x14ac:dyDescent="0.25">
      <c r="B21" s="84">
        <v>9</v>
      </c>
      <c r="C21" s="86">
        <v>2024</v>
      </c>
      <c r="D21" s="86" t="s">
        <v>263</v>
      </c>
      <c r="E21" s="87" t="s">
        <v>332</v>
      </c>
      <c r="F21" s="88">
        <v>26250000</v>
      </c>
      <c r="G21" s="88">
        <v>0</v>
      </c>
      <c r="H21" s="88">
        <v>0</v>
      </c>
      <c r="I21" s="141">
        <f t="shared" si="0"/>
        <v>0</v>
      </c>
      <c r="J21" s="88">
        <v>26250000</v>
      </c>
      <c r="K21" s="88">
        <f>+'ETAT DES FACTURATIONS GLOBALES'!N125</f>
        <v>0</v>
      </c>
      <c r="L21" s="143">
        <f t="shared" si="1"/>
        <v>26250000</v>
      </c>
      <c r="M21" s="89">
        <v>45275</v>
      </c>
      <c r="N21" s="89">
        <v>45808</v>
      </c>
      <c r="O21" s="89">
        <v>45672</v>
      </c>
      <c r="P21" s="145">
        <f t="shared" si="2"/>
        <v>0.74671669793621009</v>
      </c>
      <c r="Q21" s="145">
        <f t="shared" si="3"/>
        <v>1</v>
      </c>
      <c r="R21" s="145">
        <f t="shared" si="4"/>
        <v>0</v>
      </c>
      <c r="S21" s="90" t="s">
        <v>262</v>
      </c>
    </row>
    <row r="22" spans="2:19" ht="16.5" customHeight="1" x14ac:dyDescent="0.25">
      <c r="B22" s="84"/>
      <c r="C22" s="86">
        <v>2025</v>
      </c>
      <c r="D22" s="86" t="s">
        <v>263</v>
      </c>
      <c r="E22" s="87" t="s">
        <v>333</v>
      </c>
      <c r="F22" s="88">
        <v>6000000</v>
      </c>
      <c r="G22" s="88"/>
      <c r="H22" s="88"/>
      <c r="I22" s="141"/>
      <c r="J22" s="88">
        <v>2100000</v>
      </c>
      <c r="K22" s="88"/>
      <c r="L22" s="143">
        <f t="shared" si="1"/>
        <v>2100000</v>
      </c>
      <c r="M22" s="89"/>
      <c r="N22" s="89"/>
      <c r="O22" s="89"/>
      <c r="P22" s="145"/>
      <c r="Q22" s="145"/>
      <c r="R22" s="145"/>
      <c r="S22" s="90"/>
    </row>
    <row r="23" spans="2:19" x14ac:dyDescent="0.25">
      <c r="B23" s="84">
        <v>10</v>
      </c>
      <c r="C23" s="86">
        <v>2023</v>
      </c>
      <c r="D23" s="86" t="s">
        <v>271</v>
      </c>
      <c r="E23" s="87" t="s">
        <v>271</v>
      </c>
      <c r="F23" s="88">
        <v>8500000</v>
      </c>
      <c r="G23" s="88">
        <v>0</v>
      </c>
      <c r="H23" s="88">
        <v>0</v>
      </c>
      <c r="I23" s="141">
        <f t="shared" si="0"/>
        <v>0</v>
      </c>
      <c r="J23" s="88">
        <f>+'ETAT DES FACTURATIONS GLOBALES'!H10</f>
        <v>8500000</v>
      </c>
      <c r="K23" s="88">
        <f>+'ETAT DES FACTURATIONS GLOBALES'!N10</f>
        <v>8500000</v>
      </c>
      <c r="L23" s="143">
        <f t="shared" si="1"/>
        <v>0</v>
      </c>
      <c r="M23" s="89">
        <v>45178</v>
      </c>
      <c r="N23" s="89">
        <v>45239</v>
      </c>
      <c r="O23" s="89">
        <v>45239</v>
      </c>
      <c r="P23" s="145">
        <f t="shared" si="2"/>
        <v>1</v>
      </c>
      <c r="Q23" s="145">
        <f t="shared" si="3"/>
        <v>1</v>
      </c>
      <c r="R23" s="145">
        <f t="shared" si="4"/>
        <v>1</v>
      </c>
      <c r="S23" s="91" t="s">
        <v>265</v>
      </c>
    </row>
    <row r="24" spans="2:19" x14ac:dyDescent="0.25">
      <c r="B24" s="148">
        <v>11</v>
      </c>
      <c r="C24" s="149">
        <v>2023</v>
      </c>
      <c r="D24" s="149" t="s">
        <v>274</v>
      </c>
      <c r="E24" s="150" t="s">
        <v>274</v>
      </c>
      <c r="F24" s="151">
        <v>20664000</v>
      </c>
      <c r="G24" s="151">
        <v>0</v>
      </c>
      <c r="H24" s="151">
        <v>0</v>
      </c>
      <c r="I24" s="152">
        <f t="shared" si="0"/>
        <v>0</v>
      </c>
      <c r="J24" s="151" t="e">
        <f>+#REF!</f>
        <v>#REF!</v>
      </c>
      <c r="K24" s="151" t="e">
        <f>+#REF!</f>
        <v>#REF!</v>
      </c>
      <c r="L24" s="151" t="e">
        <f t="shared" si="1"/>
        <v>#REF!</v>
      </c>
      <c r="M24" s="153">
        <v>45051</v>
      </c>
      <c r="N24" s="153">
        <v>45417</v>
      </c>
      <c r="O24" s="153">
        <v>45417</v>
      </c>
      <c r="P24" s="154">
        <f t="shared" si="2"/>
        <v>1.0027322404371584</v>
      </c>
      <c r="Q24" s="154">
        <f t="shared" si="3"/>
        <v>0</v>
      </c>
      <c r="R24" s="154">
        <f t="shared" si="4"/>
        <v>0</v>
      </c>
      <c r="S24" s="155" t="s">
        <v>276</v>
      </c>
    </row>
    <row r="25" spans="2:19" x14ac:dyDescent="0.25">
      <c r="B25" s="148">
        <v>12</v>
      </c>
      <c r="C25" s="149">
        <v>2023</v>
      </c>
      <c r="D25" s="149" t="s">
        <v>214</v>
      </c>
      <c r="E25" s="150" t="s">
        <v>334</v>
      </c>
      <c r="F25" s="151">
        <v>70592790</v>
      </c>
      <c r="G25" s="151">
        <v>0</v>
      </c>
      <c r="H25" s="151">
        <v>0</v>
      </c>
      <c r="I25" s="152">
        <f t="shared" si="0"/>
        <v>0</v>
      </c>
      <c r="J25" s="151">
        <v>70592790</v>
      </c>
      <c r="K25" s="151">
        <v>17010310</v>
      </c>
      <c r="L25" s="151">
        <f t="shared" si="1"/>
        <v>53582480</v>
      </c>
      <c r="M25" s="153">
        <v>45077</v>
      </c>
      <c r="N25" s="153">
        <v>45688</v>
      </c>
      <c r="O25" s="153">
        <v>45688</v>
      </c>
      <c r="P25" s="154">
        <f t="shared" si="2"/>
        <v>1.0016366612111294</v>
      </c>
      <c r="Q25" s="154">
        <f t="shared" si="3"/>
        <v>1</v>
      </c>
      <c r="R25" s="154">
        <f t="shared" si="4"/>
        <v>0.24096384347466646</v>
      </c>
      <c r="S25" s="155" t="s">
        <v>276</v>
      </c>
    </row>
    <row r="26" spans="2:19" x14ac:dyDescent="0.25">
      <c r="B26" s="148"/>
      <c r="C26" s="149">
        <v>2024</v>
      </c>
      <c r="D26" s="149" t="s">
        <v>214</v>
      </c>
      <c r="E26" s="150" t="s">
        <v>335</v>
      </c>
      <c r="F26" s="151">
        <f>7654640-7654640</f>
        <v>0</v>
      </c>
      <c r="G26" s="151"/>
      <c r="H26" s="151"/>
      <c r="I26" s="152"/>
      <c r="J26" s="151">
        <v>7654640</v>
      </c>
      <c r="K26" s="151"/>
      <c r="L26" s="151">
        <f t="shared" si="1"/>
        <v>7654640</v>
      </c>
      <c r="M26" s="153"/>
      <c r="N26" s="153"/>
      <c r="O26" s="153"/>
      <c r="P26" s="154"/>
      <c r="Q26" s="154"/>
      <c r="R26" s="154"/>
      <c r="S26" s="155" t="s">
        <v>276</v>
      </c>
    </row>
    <row r="27" spans="2:19" ht="16.5" customHeight="1" x14ac:dyDescent="0.25">
      <c r="B27" s="84">
        <v>13</v>
      </c>
      <c r="C27" s="86">
        <v>2024</v>
      </c>
      <c r="D27" s="86" t="s">
        <v>264</v>
      </c>
      <c r="E27" s="87" t="s">
        <v>338</v>
      </c>
      <c r="F27" s="88">
        <f>423496500+18075000</f>
        <v>441571500</v>
      </c>
      <c r="G27" s="88">
        <v>445022000</v>
      </c>
      <c r="H27" s="88">
        <v>161608321</v>
      </c>
      <c r="I27" s="141">
        <f t="shared" si="0"/>
        <v>0.36314681296654999</v>
      </c>
      <c r="J27" s="88">
        <v>441571500</v>
      </c>
      <c r="K27" s="88">
        <f>+'ETAT DES FACTURATIONS GLOBALES'!N89+'ETAT DES FACTURATIONS GLOBALES'!N103</f>
        <v>109800000</v>
      </c>
      <c r="L27" s="143">
        <f t="shared" si="1"/>
        <v>331771500</v>
      </c>
      <c r="M27" s="89">
        <v>45352</v>
      </c>
      <c r="N27" s="89">
        <v>46081</v>
      </c>
      <c r="O27" s="89">
        <v>45658</v>
      </c>
      <c r="P27" s="145">
        <f t="shared" si="2"/>
        <v>0.42112482853223593</v>
      </c>
      <c r="Q27" s="145">
        <f t="shared" si="3"/>
        <v>1</v>
      </c>
      <c r="R27" s="145">
        <f t="shared" si="4"/>
        <v>0.24865735220683399</v>
      </c>
      <c r="S27" s="90" t="s">
        <v>262</v>
      </c>
    </row>
    <row r="28" spans="2:19" ht="16.5" customHeight="1" x14ac:dyDescent="0.25">
      <c r="B28" s="84"/>
      <c r="C28" s="86">
        <v>2025</v>
      </c>
      <c r="D28" s="86" t="s">
        <v>264</v>
      </c>
      <c r="E28" s="87" t="s">
        <v>339</v>
      </c>
      <c r="F28" s="88">
        <f>31000000*12</f>
        <v>372000000</v>
      </c>
      <c r="G28" s="88"/>
      <c r="H28" s="88"/>
      <c r="I28" s="141"/>
      <c r="J28" s="88">
        <f>30715500+18075000+12640500</f>
        <v>61431000</v>
      </c>
      <c r="K28" s="88"/>
      <c r="L28" s="143">
        <f t="shared" si="1"/>
        <v>61431000</v>
      </c>
      <c r="M28" s="89"/>
      <c r="N28" s="89"/>
      <c r="O28" s="89"/>
      <c r="P28" s="145"/>
      <c r="Q28" s="145"/>
      <c r="R28" s="145"/>
      <c r="S28" s="90"/>
    </row>
    <row r="29" spans="2:19" ht="16.5" customHeight="1" x14ac:dyDescent="0.25">
      <c r="B29" s="84"/>
      <c r="C29" s="86">
        <v>2026</v>
      </c>
      <c r="D29" s="86" t="s">
        <v>264</v>
      </c>
      <c r="E29" s="87" t="s">
        <v>340</v>
      </c>
      <c r="F29" s="88">
        <f>882000000-423496500-372000000</f>
        <v>86503500</v>
      </c>
      <c r="G29" s="88"/>
      <c r="H29" s="88"/>
      <c r="I29" s="141"/>
      <c r="J29" s="88"/>
      <c r="K29" s="88"/>
      <c r="L29" s="143"/>
      <c r="M29" s="89"/>
      <c r="N29" s="89"/>
      <c r="O29" s="89"/>
      <c r="P29" s="145"/>
      <c r="Q29" s="145"/>
      <c r="R29" s="145"/>
      <c r="S29" s="90"/>
    </row>
    <row r="30" spans="2:19" ht="16.5" customHeight="1" x14ac:dyDescent="0.25">
      <c r="B30" s="84">
        <v>14</v>
      </c>
      <c r="C30" s="86">
        <v>2024</v>
      </c>
      <c r="D30" s="86" t="s">
        <v>209</v>
      </c>
      <c r="E30" s="87" t="s">
        <v>209</v>
      </c>
      <c r="F30" s="88">
        <v>431615463</v>
      </c>
      <c r="G30" s="88">
        <v>0</v>
      </c>
      <c r="H30" s="88">
        <v>161547108</v>
      </c>
      <c r="I30" s="141">
        <f t="shared" si="0"/>
        <v>0.37428480174724416</v>
      </c>
      <c r="J30" s="88">
        <f>+'ETAT DES FACTURATIONS GLOBALES'!H110</f>
        <v>0</v>
      </c>
      <c r="K30" s="88">
        <f>+'ETAT DES FACTURATIONS GLOBALES'!N110</f>
        <v>0</v>
      </c>
      <c r="L30" s="143">
        <f t="shared" si="1"/>
        <v>0</v>
      </c>
      <c r="M30" s="89">
        <v>45450</v>
      </c>
      <c r="N30" s="89">
        <v>45633</v>
      </c>
      <c r="O30" s="89">
        <v>45633</v>
      </c>
      <c r="P30" s="145">
        <f t="shared" si="2"/>
        <v>1</v>
      </c>
      <c r="Q30" s="145">
        <f t="shared" si="3"/>
        <v>0</v>
      </c>
      <c r="R30" s="145">
        <f t="shared" si="4"/>
        <v>0</v>
      </c>
      <c r="S30" s="91" t="s">
        <v>265</v>
      </c>
    </row>
    <row r="31" spans="2:19" x14ac:dyDescent="0.25">
      <c r="B31" s="84">
        <v>15</v>
      </c>
      <c r="C31" s="86">
        <v>2024</v>
      </c>
      <c r="D31" s="86" t="s">
        <v>318</v>
      </c>
      <c r="E31" s="87" t="s">
        <v>318</v>
      </c>
      <c r="F31" s="88">
        <v>25773196</v>
      </c>
      <c r="G31" s="88"/>
      <c r="H31" s="88">
        <v>0</v>
      </c>
      <c r="I31" s="141">
        <f t="shared" si="0"/>
        <v>0</v>
      </c>
      <c r="J31" s="88">
        <f>+'ETAT DES FACTURATIONS GLOBALES'!H113</f>
        <v>25773196</v>
      </c>
      <c r="K31" s="88">
        <f>+'ETAT DES FACTURATIONS GLOBALES'!N113</f>
        <v>25773196.599999998</v>
      </c>
      <c r="L31" s="143">
        <f t="shared" si="1"/>
        <v>-0.59999999776482582</v>
      </c>
      <c r="M31" s="89">
        <v>45503</v>
      </c>
      <c r="N31" s="89">
        <v>45595</v>
      </c>
      <c r="O31" s="89"/>
      <c r="P31" s="145">
        <f t="shared" si="2"/>
        <v>1</v>
      </c>
      <c r="Q31" s="145">
        <f t="shared" si="3"/>
        <v>1</v>
      </c>
      <c r="R31" s="145">
        <f t="shared" si="4"/>
        <v>1.0000000232799997</v>
      </c>
      <c r="S31" s="91" t="s">
        <v>265</v>
      </c>
    </row>
    <row r="32" spans="2:19" x14ac:dyDescent="0.25">
      <c r="B32" s="84">
        <v>16</v>
      </c>
      <c r="C32" s="86">
        <v>2024</v>
      </c>
      <c r="D32" s="86" t="s">
        <v>211</v>
      </c>
      <c r="E32" s="87" t="s">
        <v>343</v>
      </c>
      <c r="F32" s="88">
        <v>237988922</v>
      </c>
      <c r="G32" s="88">
        <v>0</v>
      </c>
      <c r="H32" s="88">
        <v>284111717</v>
      </c>
      <c r="I32" s="141">
        <f t="shared" si="0"/>
        <v>1.1938022770656527</v>
      </c>
      <c r="J32" s="88">
        <f>+'ETAT DES FACTURATIONS GLOBALES'!H130</f>
        <v>0</v>
      </c>
      <c r="K32" s="88">
        <f>+'ETAT DES FACTURATIONS GLOBALES'!N130</f>
        <v>0</v>
      </c>
      <c r="L32" s="143">
        <f t="shared" si="1"/>
        <v>0</v>
      </c>
      <c r="M32" s="89">
        <v>45447</v>
      </c>
      <c r="N32" s="89">
        <v>45630</v>
      </c>
      <c r="O32" s="89">
        <v>45661</v>
      </c>
      <c r="P32" s="145">
        <f t="shared" si="2"/>
        <v>1.174863387978142</v>
      </c>
      <c r="Q32" s="145">
        <f t="shared" si="3"/>
        <v>0</v>
      </c>
      <c r="R32" s="145">
        <f t="shared" si="4"/>
        <v>0</v>
      </c>
      <c r="S32" s="90" t="s">
        <v>262</v>
      </c>
    </row>
    <row r="33" spans="2:19" x14ac:dyDescent="0.25">
      <c r="B33" s="84"/>
      <c r="C33" s="86">
        <v>2025</v>
      </c>
      <c r="D33" s="86" t="s">
        <v>211</v>
      </c>
      <c r="E33" s="87" t="s">
        <v>344</v>
      </c>
      <c r="F33" s="88">
        <f>309056338-237988922</f>
        <v>71067416</v>
      </c>
      <c r="G33" s="88"/>
      <c r="H33" s="88"/>
      <c r="I33" s="141"/>
      <c r="J33" s="88"/>
      <c r="K33" s="88"/>
      <c r="L33" s="143"/>
      <c r="M33" s="89"/>
      <c r="N33" s="89"/>
      <c r="O33" s="89"/>
      <c r="P33" s="145"/>
      <c r="Q33" s="145"/>
      <c r="R33" s="145"/>
      <c r="S33" s="90"/>
    </row>
    <row r="34" spans="2:19" x14ac:dyDescent="0.25">
      <c r="B34" s="84">
        <v>17</v>
      </c>
      <c r="C34" s="86">
        <v>2024</v>
      </c>
      <c r="D34" s="86" t="s">
        <v>212</v>
      </c>
      <c r="E34" s="87" t="s">
        <v>345</v>
      </c>
      <c r="F34" s="88">
        <v>5600000</v>
      </c>
      <c r="G34" s="88">
        <v>0</v>
      </c>
      <c r="H34" s="88">
        <v>25300</v>
      </c>
      <c r="I34" s="141">
        <f t="shared" si="0"/>
        <v>4.5178571428571429E-3</v>
      </c>
      <c r="J34" s="88">
        <v>5600000</v>
      </c>
      <c r="K34" s="88">
        <v>5600000</v>
      </c>
      <c r="L34" s="143">
        <f t="shared" si="1"/>
        <v>0</v>
      </c>
      <c r="M34" s="89">
        <v>45596</v>
      </c>
      <c r="N34" s="89">
        <v>45808</v>
      </c>
      <c r="O34" s="89">
        <v>45688</v>
      </c>
      <c r="P34" s="145">
        <f t="shared" si="2"/>
        <v>0.43867924528301888</v>
      </c>
      <c r="Q34" s="145">
        <f t="shared" si="3"/>
        <v>1</v>
      </c>
      <c r="R34" s="145">
        <f t="shared" si="4"/>
        <v>1</v>
      </c>
      <c r="S34" s="90" t="s">
        <v>262</v>
      </c>
    </row>
    <row r="35" spans="2:19" x14ac:dyDescent="0.25">
      <c r="B35" s="84"/>
      <c r="C35" s="86">
        <v>2025</v>
      </c>
      <c r="D35" s="86" t="s">
        <v>212</v>
      </c>
      <c r="E35" s="87" t="s">
        <v>346</v>
      </c>
      <c r="F35" s="88">
        <f>11200000-5600000</f>
        <v>5600000</v>
      </c>
      <c r="G35" s="88"/>
      <c r="H35" s="88"/>
      <c r="I35" s="141"/>
      <c r="J35" s="88">
        <v>1120000</v>
      </c>
      <c r="K35" s="88">
        <v>1120000</v>
      </c>
      <c r="L35" s="143">
        <f t="shared" si="1"/>
        <v>0</v>
      </c>
      <c r="M35" s="89"/>
      <c r="N35" s="89"/>
      <c r="O35" s="89"/>
      <c r="P35" s="145"/>
      <c r="Q35" s="145"/>
      <c r="R35" s="145"/>
      <c r="S35" s="90"/>
    </row>
    <row r="36" spans="2:19" x14ac:dyDescent="0.25">
      <c r="B36" s="84">
        <v>18</v>
      </c>
      <c r="C36" s="86">
        <v>2024</v>
      </c>
      <c r="D36" s="86" t="s">
        <v>213</v>
      </c>
      <c r="E36" s="87" t="s">
        <v>347</v>
      </c>
      <c r="F36" s="88">
        <v>9900000</v>
      </c>
      <c r="G36" s="88">
        <v>0</v>
      </c>
      <c r="H36" s="88">
        <v>4241423</v>
      </c>
      <c r="I36" s="141">
        <f t="shared" si="0"/>
        <v>0.42842656565656567</v>
      </c>
      <c r="J36" s="88">
        <v>9900000</v>
      </c>
      <c r="K36" s="88">
        <f>+'ETAT DES FACTURATIONS GLOBALES'!N151</f>
        <v>0</v>
      </c>
      <c r="L36" s="143">
        <f t="shared" si="1"/>
        <v>9900000</v>
      </c>
      <c r="M36" s="89">
        <v>45607</v>
      </c>
      <c r="N36" s="89">
        <v>46337</v>
      </c>
      <c r="O36" s="89">
        <v>45668</v>
      </c>
      <c r="P36" s="145">
        <f t="shared" si="2"/>
        <v>8.4931506849315067E-2</v>
      </c>
      <c r="Q36" s="145">
        <f t="shared" si="3"/>
        <v>1</v>
      </c>
      <c r="R36" s="145">
        <f t="shared" si="4"/>
        <v>0</v>
      </c>
      <c r="S36" s="90" t="s">
        <v>262</v>
      </c>
    </row>
    <row r="37" spans="2:19" x14ac:dyDescent="0.25">
      <c r="B37" s="84"/>
      <c r="C37" s="86">
        <v>2025</v>
      </c>
      <c r="D37" s="86" t="s">
        <v>213</v>
      </c>
      <c r="E37" s="87" t="s">
        <v>348</v>
      </c>
      <c r="F37" s="88">
        <f>4950000*12</f>
        <v>59400000</v>
      </c>
      <c r="G37" s="88"/>
      <c r="H37" s="88"/>
      <c r="I37" s="141"/>
      <c r="J37" s="88">
        <v>4950000</v>
      </c>
      <c r="K37" s="88"/>
      <c r="L37" s="143">
        <f t="shared" si="1"/>
        <v>4950000</v>
      </c>
      <c r="M37" s="89"/>
      <c r="N37" s="89"/>
      <c r="O37" s="89"/>
      <c r="P37" s="145"/>
      <c r="Q37" s="145"/>
      <c r="R37" s="145"/>
      <c r="S37" s="90"/>
    </row>
    <row r="38" spans="2:19" x14ac:dyDescent="0.25">
      <c r="B38" s="84"/>
      <c r="C38" s="86">
        <v>2026</v>
      </c>
      <c r="D38" s="86" t="s">
        <v>213</v>
      </c>
      <c r="E38" s="87" t="s">
        <v>349</v>
      </c>
      <c r="F38" s="88">
        <f>4950000*10</f>
        <v>49500000</v>
      </c>
      <c r="G38" s="88"/>
      <c r="H38" s="88"/>
      <c r="I38" s="141"/>
      <c r="J38" s="88"/>
      <c r="K38" s="88"/>
      <c r="L38" s="143"/>
      <c r="M38" s="89"/>
      <c r="N38" s="89"/>
      <c r="O38" s="89"/>
      <c r="P38" s="145"/>
      <c r="Q38" s="145"/>
      <c r="R38" s="145"/>
      <c r="S38" s="90"/>
    </row>
    <row r="39" spans="2:19" x14ac:dyDescent="0.25">
      <c r="B39" s="84">
        <v>19</v>
      </c>
      <c r="C39" s="86">
        <v>2025</v>
      </c>
      <c r="D39" s="86" t="s">
        <v>214</v>
      </c>
      <c r="E39" s="87" t="s">
        <v>334</v>
      </c>
      <c r="F39" s="88">
        <f>7500000*12</f>
        <v>90000000</v>
      </c>
      <c r="G39" s="88">
        <v>0</v>
      </c>
      <c r="H39" s="88">
        <v>4219711</v>
      </c>
      <c r="I39" s="141">
        <f>+IFERROR(H39/(IF(G39=0,F39,G39)),0)</f>
        <v>4.688567777777778E-2</v>
      </c>
      <c r="J39" s="88">
        <f>+'ETAT DES FACTURATIONS GLOBALES'!H170</f>
        <v>0</v>
      </c>
      <c r="K39" s="88">
        <f>+'ETAT DES FACTURATIONS GLOBALES'!N170</f>
        <v>0</v>
      </c>
      <c r="L39" s="143">
        <f t="shared" si="1"/>
        <v>0</v>
      </c>
      <c r="M39" s="89">
        <v>45623</v>
      </c>
      <c r="N39" s="89">
        <v>46234</v>
      </c>
      <c r="O39" s="89">
        <v>45684</v>
      </c>
      <c r="P39" s="145">
        <f t="shared" si="2"/>
        <v>0.10147299509001637</v>
      </c>
      <c r="Q39" s="145">
        <f>IFERROR(J39/F39,0)</f>
        <v>0</v>
      </c>
      <c r="R39" s="145">
        <f t="shared" si="4"/>
        <v>0</v>
      </c>
      <c r="S39" s="90" t="s">
        <v>262</v>
      </c>
    </row>
    <row r="40" spans="2:19" x14ac:dyDescent="0.25">
      <c r="B40" s="84"/>
      <c r="C40" s="86">
        <v>2026</v>
      </c>
      <c r="D40" s="86" t="s">
        <v>214</v>
      </c>
      <c r="E40" s="87" t="s">
        <v>335</v>
      </c>
      <c r="F40" s="88">
        <f>7500000*4</f>
        <v>30000000</v>
      </c>
      <c r="G40" s="88"/>
      <c r="H40" s="88"/>
      <c r="I40" s="141"/>
      <c r="J40" s="88"/>
      <c r="K40" s="88"/>
      <c r="L40" s="143"/>
      <c r="M40" s="89"/>
      <c r="N40" s="89"/>
      <c r="O40" s="89"/>
      <c r="P40" s="145"/>
      <c r="Q40" s="145"/>
      <c r="R40" s="145"/>
      <c r="S40" s="90"/>
    </row>
    <row r="41" spans="2:19" x14ac:dyDescent="0.25">
      <c r="B41" s="84">
        <v>20</v>
      </c>
      <c r="C41" s="86">
        <v>2025</v>
      </c>
      <c r="D41" s="86" t="s">
        <v>266</v>
      </c>
      <c r="E41" s="87" t="s">
        <v>350</v>
      </c>
      <c r="F41" s="88">
        <f>(199470000/19)*10</f>
        <v>104984210.52631579</v>
      </c>
      <c r="G41" s="88">
        <v>0</v>
      </c>
      <c r="H41" s="88">
        <v>3244860</v>
      </c>
      <c r="I41" s="141">
        <f t="shared" si="0"/>
        <v>3.0908076402466535E-2</v>
      </c>
      <c r="J41" s="88">
        <v>0</v>
      </c>
      <c r="K41" s="88">
        <v>0</v>
      </c>
      <c r="L41" s="143">
        <f t="shared" si="1"/>
        <v>0</v>
      </c>
      <c r="M41" s="89">
        <v>45677</v>
      </c>
      <c r="N41" s="89">
        <v>46295</v>
      </c>
      <c r="O41" s="89">
        <v>45677</v>
      </c>
      <c r="P41" s="145">
        <f t="shared" si="2"/>
        <v>1.6181229773462784E-3</v>
      </c>
      <c r="Q41" s="145">
        <f t="shared" si="3"/>
        <v>0</v>
      </c>
      <c r="R41" s="145">
        <f t="shared" si="4"/>
        <v>0</v>
      </c>
      <c r="S41" s="90" t="s">
        <v>262</v>
      </c>
    </row>
    <row r="42" spans="2:19" x14ac:dyDescent="0.25">
      <c r="B42" s="84"/>
      <c r="C42" s="86">
        <v>2026</v>
      </c>
      <c r="D42" s="86" t="s">
        <v>266</v>
      </c>
      <c r="E42" s="87" t="s">
        <v>351</v>
      </c>
      <c r="F42" s="88">
        <f>199470000*9/19</f>
        <v>94485789.473684207</v>
      </c>
      <c r="G42" s="88"/>
      <c r="H42" s="88"/>
      <c r="I42" s="141"/>
      <c r="J42" s="88"/>
      <c r="K42" s="88"/>
      <c r="L42" s="143"/>
      <c r="M42" s="89"/>
      <c r="N42" s="89"/>
      <c r="O42" s="89"/>
      <c r="P42" s="145"/>
      <c r="Q42" s="145"/>
      <c r="R42" s="145"/>
      <c r="S42" s="90"/>
    </row>
    <row r="43" spans="2:19" x14ac:dyDescent="0.25">
      <c r="B43" s="84">
        <v>21</v>
      </c>
      <c r="C43" s="86">
        <v>2025</v>
      </c>
      <c r="D43" s="86"/>
      <c r="E43" s="87" t="s">
        <v>241</v>
      </c>
      <c r="F43" s="92"/>
      <c r="G43" s="93">
        <v>0</v>
      </c>
      <c r="H43" s="93">
        <v>0</v>
      </c>
      <c r="I43" s="141">
        <f t="shared" si="0"/>
        <v>0</v>
      </c>
      <c r="J43" s="93"/>
      <c r="K43" s="93"/>
      <c r="L43" s="143">
        <f t="shared" si="1"/>
        <v>0</v>
      </c>
      <c r="M43" s="89"/>
      <c r="N43" s="89"/>
      <c r="O43" s="89"/>
      <c r="P43" s="145">
        <f t="shared" si="2"/>
        <v>0</v>
      </c>
      <c r="Q43" s="145">
        <f t="shared" si="3"/>
        <v>0</v>
      </c>
      <c r="R43" s="145">
        <f t="shared" si="4"/>
        <v>0</v>
      </c>
      <c r="S43" s="90" t="s">
        <v>262</v>
      </c>
    </row>
    <row r="44" spans="2:19" x14ac:dyDescent="0.25">
      <c r="B44" s="84">
        <v>22</v>
      </c>
      <c r="C44" s="86">
        <v>2025</v>
      </c>
      <c r="D44" s="86"/>
      <c r="E44" s="87" t="s">
        <v>240</v>
      </c>
      <c r="F44" s="88">
        <v>372908000</v>
      </c>
      <c r="G44" s="88">
        <v>0</v>
      </c>
      <c r="H44" s="88">
        <v>0</v>
      </c>
      <c r="I44" s="141">
        <f t="shared" si="0"/>
        <v>0</v>
      </c>
      <c r="J44" s="88"/>
      <c r="K44" s="88"/>
      <c r="L44" s="143">
        <f t="shared" si="1"/>
        <v>0</v>
      </c>
      <c r="M44" s="89"/>
      <c r="N44" s="89"/>
      <c r="O44" s="89"/>
      <c r="P44" s="145">
        <f t="shared" si="2"/>
        <v>0</v>
      </c>
      <c r="Q44" s="145">
        <f t="shared" si="3"/>
        <v>0</v>
      </c>
      <c r="R44" s="145">
        <f t="shared" si="4"/>
        <v>0</v>
      </c>
      <c r="S44" s="90" t="s">
        <v>262</v>
      </c>
    </row>
    <row r="45" spans="2:19" ht="18" customHeight="1" x14ac:dyDescent="0.25">
      <c r="B45" s="84">
        <v>23</v>
      </c>
      <c r="C45" s="94">
        <v>2025</v>
      </c>
      <c r="D45" s="94"/>
      <c r="E45" s="95" t="s">
        <v>267</v>
      </c>
      <c r="F45" s="96">
        <v>74884000</v>
      </c>
      <c r="G45" s="88">
        <v>0</v>
      </c>
      <c r="H45" s="88">
        <v>0</v>
      </c>
      <c r="I45" s="141">
        <f t="shared" si="0"/>
        <v>0</v>
      </c>
      <c r="J45" s="96"/>
      <c r="K45" s="96"/>
      <c r="L45" s="143">
        <f t="shared" si="1"/>
        <v>0</v>
      </c>
      <c r="M45" s="97"/>
      <c r="N45" s="97"/>
      <c r="O45" s="97"/>
      <c r="P45" s="145">
        <f t="shared" si="2"/>
        <v>0</v>
      </c>
      <c r="Q45" s="145">
        <f t="shared" si="3"/>
        <v>0</v>
      </c>
      <c r="R45" s="145">
        <f t="shared" si="4"/>
        <v>0</v>
      </c>
      <c r="S45" s="90" t="s">
        <v>262</v>
      </c>
    </row>
    <row r="46" spans="2:19" x14ac:dyDescent="0.25">
      <c r="B46" s="84">
        <v>24</v>
      </c>
      <c r="C46" s="94">
        <v>2025</v>
      </c>
      <c r="D46" s="94"/>
      <c r="E46" s="95" t="s">
        <v>268</v>
      </c>
      <c r="F46" s="96">
        <v>323000000</v>
      </c>
      <c r="G46" s="88">
        <v>0</v>
      </c>
      <c r="H46" s="88">
        <v>0</v>
      </c>
      <c r="I46" s="141">
        <f t="shared" si="0"/>
        <v>0</v>
      </c>
      <c r="J46" s="96"/>
      <c r="K46" s="96"/>
      <c r="L46" s="143">
        <f t="shared" si="1"/>
        <v>0</v>
      </c>
      <c r="M46" s="97"/>
      <c r="N46" s="97"/>
      <c r="O46" s="97"/>
      <c r="P46" s="145">
        <f t="shared" si="2"/>
        <v>0</v>
      </c>
      <c r="Q46" s="145">
        <f t="shared" si="3"/>
        <v>0</v>
      </c>
      <c r="R46" s="145">
        <f t="shared" si="4"/>
        <v>0</v>
      </c>
      <c r="S46" s="90" t="s">
        <v>262</v>
      </c>
    </row>
    <row r="47" spans="2:19" x14ac:dyDescent="0.25">
      <c r="B47" s="84">
        <v>25</v>
      </c>
      <c r="C47" s="94">
        <v>2025</v>
      </c>
      <c r="D47" s="94"/>
      <c r="E47" s="95" t="s">
        <v>239</v>
      </c>
      <c r="F47" s="96">
        <v>3375000</v>
      </c>
      <c r="G47" s="88">
        <v>0</v>
      </c>
      <c r="H47" s="88">
        <v>0</v>
      </c>
      <c r="I47" s="141">
        <f t="shared" si="0"/>
        <v>0</v>
      </c>
      <c r="J47" s="96"/>
      <c r="K47" s="96"/>
      <c r="L47" s="143">
        <f t="shared" si="1"/>
        <v>0</v>
      </c>
      <c r="M47" s="97"/>
      <c r="N47" s="97"/>
      <c r="O47" s="97"/>
      <c r="P47" s="145">
        <f t="shared" si="2"/>
        <v>0</v>
      </c>
      <c r="Q47" s="145">
        <f t="shared" si="3"/>
        <v>0</v>
      </c>
      <c r="R47" s="145">
        <f t="shared" si="4"/>
        <v>0</v>
      </c>
      <c r="S47" s="90" t="s">
        <v>262</v>
      </c>
    </row>
    <row r="48" spans="2:19" ht="16.5" customHeight="1" x14ac:dyDescent="0.25">
      <c r="B48" s="84">
        <v>26</v>
      </c>
      <c r="C48" s="94">
        <v>2025</v>
      </c>
      <c r="D48" s="94"/>
      <c r="E48" s="95" t="s">
        <v>238</v>
      </c>
      <c r="F48" s="96">
        <v>40000000</v>
      </c>
      <c r="G48" s="88">
        <v>0</v>
      </c>
      <c r="H48" s="88">
        <v>3810000</v>
      </c>
      <c r="I48" s="141">
        <f t="shared" si="0"/>
        <v>9.5250000000000001E-2</v>
      </c>
      <c r="J48" s="96"/>
      <c r="K48" s="96"/>
      <c r="L48" s="143">
        <f t="shared" si="1"/>
        <v>0</v>
      </c>
      <c r="M48" s="97"/>
      <c r="N48" s="97"/>
      <c r="O48" s="97"/>
      <c r="P48" s="145">
        <f t="shared" si="2"/>
        <v>0</v>
      </c>
      <c r="Q48" s="145">
        <f t="shared" si="3"/>
        <v>0</v>
      </c>
      <c r="R48" s="145">
        <f t="shared" si="4"/>
        <v>0</v>
      </c>
      <c r="S48" s="90" t="s">
        <v>262</v>
      </c>
    </row>
    <row r="49" spans="2:19" x14ac:dyDescent="0.25">
      <c r="B49" s="84">
        <v>27</v>
      </c>
      <c r="C49" s="94">
        <v>2025</v>
      </c>
      <c r="D49" s="94"/>
      <c r="E49" s="95" t="s">
        <v>269</v>
      </c>
      <c r="F49" s="147">
        <v>0</v>
      </c>
      <c r="G49" s="88">
        <v>512262802.01999998</v>
      </c>
      <c r="H49" s="88">
        <v>0</v>
      </c>
      <c r="I49" s="141">
        <f t="shared" si="0"/>
        <v>0</v>
      </c>
      <c r="J49" s="96">
        <v>0</v>
      </c>
      <c r="K49" s="96">
        <v>0</v>
      </c>
      <c r="L49" s="143">
        <f t="shared" si="1"/>
        <v>0</v>
      </c>
      <c r="M49" s="97">
        <v>45658</v>
      </c>
      <c r="N49" s="97">
        <v>46022</v>
      </c>
      <c r="O49" s="97">
        <v>45688</v>
      </c>
      <c r="P49" s="145">
        <f t="shared" si="2"/>
        <v>8.5164835164835168E-2</v>
      </c>
      <c r="Q49" s="145">
        <f t="shared" si="3"/>
        <v>0</v>
      </c>
      <c r="R49" s="145">
        <f t="shared" si="4"/>
        <v>0</v>
      </c>
      <c r="S49" s="90" t="s">
        <v>262</v>
      </c>
    </row>
    <row r="50" spans="2:19" x14ac:dyDescent="0.25">
      <c r="B50" s="84">
        <v>28</v>
      </c>
      <c r="C50" s="94">
        <v>2025</v>
      </c>
      <c r="D50" s="94" t="s">
        <v>352</v>
      </c>
      <c r="E50" s="95" t="s">
        <v>353</v>
      </c>
      <c r="F50" s="96">
        <f>(384911850*30%)+(269438295*11/12)</f>
        <v>362458658.75</v>
      </c>
      <c r="G50" s="96"/>
      <c r="H50" s="96"/>
      <c r="I50" s="141">
        <f t="shared" si="0"/>
        <v>0</v>
      </c>
      <c r="J50" s="96"/>
      <c r="K50" s="96"/>
      <c r="L50" s="143">
        <f t="shared" si="1"/>
        <v>0</v>
      </c>
      <c r="M50" s="97"/>
      <c r="N50" s="97"/>
      <c r="O50" s="97"/>
      <c r="P50" s="145">
        <f t="shared" si="2"/>
        <v>0</v>
      </c>
      <c r="Q50" s="145">
        <f t="shared" si="3"/>
        <v>0</v>
      </c>
      <c r="R50" s="145">
        <f t="shared" si="4"/>
        <v>0</v>
      </c>
      <c r="S50" s="98"/>
    </row>
    <row r="51" spans="2:19" x14ac:dyDescent="0.25">
      <c r="B51" s="84">
        <v>29</v>
      </c>
      <c r="C51" s="94">
        <v>2026</v>
      </c>
      <c r="D51" s="94" t="s">
        <v>352</v>
      </c>
      <c r="E51" s="95" t="s">
        <v>354</v>
      </c>
      <c r="F51" s="96">
        <f>269438295*1/12</f>
        <v>22453191.25</v>
      </c>
      <c r="G51" s="96"/>
      <c r="H51" s="96"/>
      <c r="I51" s="141">
        <f t="shared" si="0"/>
        <v>0</v>
      </c>
      <c r="J51" s="96"/>
      <c r="K51" s="96"/>
      <c r="L51" s="143">
        <f t="shared" si="1"/>
        <v>0</v>
      </c>
      <c r="M51" s="97"/>
      <c r="N51" s="97"/>
      <c r="O51" s="97"/>
      <c r="P51" s="145">
        <f t="shared" si="2"/>
        <v>0</v>
      </c>
      <c r="Q51" s="145">
        <f t="shared" si="3"/>
        <v>0</v>
      </c>
      <c r="R51" s="145">
        <f t="shared" si="4"/>
        <v>0</v>
      </c>
      <c r="S51" s="98"/>
    </row>
    <row r="52" spans="2:19" x14ac:dyDescent="0.25">
      <c r="B52" s="84">
        <v>30</v>
      </c>
      <c r="C52" s="94"/>
      <c r="D52" s="94"/>
      <c r="E52" s="95"/>
      <c r="F52" s="96"/>
      <c r="G52" s="96"/>
      <c r="H52" s="96"/>
      <c r="I52" s="141">
        <f t="shared" si="0"/>
        <v>0</v>
      </c>
      <c r="J52" s="96"/>
      <c r="K52" s="96"/>
      <c r="L52" s="143">
        <f t="shared" si="1"/>
        <v>0</v>
      </c>
      <c r="M52" s="97"/>
      <c r="N52" s="97"/>
      <c r="O52" s="97"/>
      <c r="P52" s="145">
        <f t="shared" si="2"/>
        <v>0</v>
      </c>
      <c r="Q52" s="145">
        <f t="shared" si="3"/>
        <v>0</v>
      </c>
      <c r="R52" s="145">
        <f t="shared" si="4"/>
        <v>0</v>
      </c>
      <c r="S52" s="98"/>
    </row>
    <row r="53" spans="2:19" x14ac:dyDescent="0.25">
      <c r="B53" s="84">
        <v>31</v>
      </c>
      <c r="C53" s="94"/>
      <c r="D53" s="94"/>
      <c r="E53" s="95"/>
      <c r="F53" s="96"/>
      <c r="G53" s="96"/>
      <c r="H53" s="96"/>
      <c r="I53" s="141">
        <f t="shared" si="0"/>
        <v>0</v>
      </c>
      <c r="J53" s="96"/>
      <c r="K53" s="96"/>
      <c r="L53" s="143">
        <f t="shared" si="1"/>
        <v>0</v>
      </c>
      <c r="M53" s="97"/>
      <c r="N53" s="97"/>
      <c r="O53" s="97"/>
      <c r="P53" s="145">
        <f t="shared" si="2"/>
        <v>0</v>
      </c>
      <c r="Q53" s="145">
        <f t="shared" si="3"/>
        <v>0</v>
      </c>
      <c r="R53" s="145">
        <f t="shared" si="4"/>
        <v>0</v>
      </c>
      <c r="S53" s="98"/>
    </row>
    <row r="54" spans="2:19" x14ac:dyDescent="0.25">
      <c r="B54" s="84">
        <v>32</v>
      </c>
      <c r="C54" s="94"/>
      <c r="D54" s="94"/>
      <c r="E54" s="95"/>
      <c r="F54" s="96"/>
      <c r="G54" s="96"/>
      <c r="H54" s="96"/>
      <c r="I54" s="141">
        <f t="shared" si="0"/>
        <v>0</v>
      </c>
      <c r="J54" s="96"/>
      <c r="K54" s="96"/>
      <c r="L54" s="143">
        <f t="shared" si="1"/>
        <v>0</v>
      </c>
      <c r="M54" s="97"/>
      <c r="N54" s="97"/>
      <c r="O54" s="97"/>
      <c r="P54" s="145">
        <f t="shared" si="2"/>
        <v>0</v>
      </c>
      <c r="Q54" s="145">
        <f t="shared" si="3"/>
        <v>0</v>
      </c>
      <c r="R54" s="145">
        <f t="shared" si="4"/>
        <v>0</v>
      </c>
      <c r="S54" s="98"/>
    </row>
    <row r="55" spans="2:19" x14ac:dyDescent="0.25">
      <c r="B55" s="84">
        <v>33</v>
      </c>
      <c r="C55" s="94"/>
      <c r="D55" s="94"/>
      <c r="E55" s="95"/>
      <c r="F55" s="96"/>
      <c r="G55" s="96"/>
      <c r="H55" s="96"/>
      <c r="I55" s="141">
        <f t="shared" si="0"/>
        <v>0</v>
      </c>
      <c r="J55" s="96"/>
      <c r="K55" s="96"/>
      <c r="L55" s="143">
        <f t="shared" si="1"/>
        <v>0</v>
      </c>
      <c r="M55" s="97"/>
      <c r="N55" s="97"/>
      <c r="O55" s="97"/>
      <c r="P55" s="145">
        <f t="shared" si="2"/>
        <v>0</v>
      </c>
      <c r="Q55" s="145">
        <f t="shared" si="3"/>
        <v>0</v>
      </c>
      <c r="R55" s="145">
        <f t="shared" si="4"/>
        <v>0</v>
      </c>
      <c r="S55" s="98"/>
    </row>
    <row r="56" spans="2:19" x14ac:dyDescent="0.25">
      <c r="B56" s="84">
        <v>34</v>
      </c>
      <c r="C56" s="94"/>
      <c r="D56" s="94"/>
      <c r="E56" s="95"/>
      <c r="F56" s="96"/>
      <c r="G56" s="96"/>
      <c r="H56" s="96"/>
      <c r="I56" s="141">
        <f t="shared" si="0"/>
        <v>0</v>
      </c>
      <c r="J56" s="96"/>
      <c r="K56" s="96"/>
      <c r="L56" s="143">
        <f t="shared" si="1"/>
        <v>0</v>
      </c>
      <c r="M56" s="97"/>
      <c r="N56" s="97"/>
      <c r="O56" s="97"/>
      <c r="P56" s="145">
        <f t="shared" si="2"/>
        <v>0</v>
      </c>
      <c r="Q56" s="145">
        <f t="shared" si="3"/>
        <v>0</v>
      </c>
      <c r="R56" s="145">
        <f t="shared" si="4"/>
        <v>0</v>
      </c>
      <c r="S56" s="98"/>
    </row>
    <row r="57" spans="2:19" x14ac:dyDescent="0.25">
      <c r="B57" s="84">
        <v>35</v>
      </c>
      <c r="C57" s="94"/>
      <c r="D57" s="94"/>
      <c r="E57" s="95"/>
      <c r="F57" s="96"/>
      <c r="G57" s="96"/>
      <c r="H57" s="96"/>
      <c r="I57" s="141">
        <f t="shared" si="0"/>
        <v>0</v>
      </c>
      <c r="J57" s="96"/>
      <c r="K57" s="96"/>
      <c r="L57" s="143">
        <f t="shared" si="1"/>
        <v>0</v>
      </c>
      <c r="M57" s="97"/>
      <c r="N57" s="97"/>
      <c r="O57" s="97"/>
      <c r="P57" s="145">
        <f t="shared" si="2"/>
        <v>0</v>
      </c>
      <c r="Q57" s="145">
        <f t="shared" si="3"/>
        <v>0</v>
      </c>
      <c r="R57" s="145">
        <f t="shared" si="4"/>
        <v>0</v>
      </c>
      <c r="S57" s="98"/>
    </row>
    <row r="58" spans="2:19" x14ac:dyDescent="0.25">
      <c r="B58" s="84">
        <v>36</v>
      </c>
      <c r="C58" s="94"/>
      <c r="D58" s="94"/>
      <c r="E58" s="95"/>
      <c r="F58" s="96"/>
      <c r="G58" s="96"/>
      <c r="H58" s="96"/>
      <c r="I58" s="141">
        <f t="shared" si="0"/>
        <v>0</v>
      </c>
      <c r="J58" s="96"/>
      <c r="K58" s="96"/>
      <c r="L58" s="143">
        <f t="shared" si="1"/>
        <v>0</v>
      </c>
      <c r="M58" s="97"/>
      <c r="N58" s="97"/>
      <c r="O58" s="97"/>
      <c r="P58" s="145">
        <f t="shared" si="2"/>
        <v>0</v>
      </c>
      <c r="Q58" s="145">
        <f t="shared" si="3"/>
        <v>0</v>
      </c>
      <c r="R58" s="145">
        <f t="shared" si="4"/>
        <v>0</v>
      </c>
      <c r="S58" s="98"/>
    </row>
    <row r="59" spans="2:19" x14ac:dyDescent="0.25">
      <c r="B59" s="84">
        <v>37</v>
      </c>
      <c r="C59" s="94"/>
      <c r="D59" s="94"/>
      <c r="E59" s="95"/>
      <c r="F59" s="96"/>
      <c r="G59" s="96"/>
      <c r="H59" s="96"/>
      <c r="I59" s="141">
        <f t="shared" si="0"/>
        <v>0</v>
      </c>
      <c r="J59" s="96"/>
      <c r="K59" s="96"/>
      <c r="L59" s="143">
        <f t="shared" si="1"/>
        <v>0</v>
      </c>
      <c r="M59" s="97"/>
      <c r="N59" s="97"/>
      <c r="O59" s="97"/>
      <c r="P59" s="145">
        <f t="shared" si="2"/>
        <v>0</v>
      </c>
      <c r="Q59" s="145">
        <f t="shared" si="3"/>
        <v>0</v>
      </c>
      <c r="R59" s="145">
        <f t="shared" si="4"/>
        <v>0</v>
      </c>
      <c r="S59" s="98"/>
    </row>
    <row r="60" spans="2:19" x14ac:dyDescent="0.25">
      <c r="B60" s="84">
        <v>38</v>
      </c>
      <c r="C60" s="94"/>
      <c r="D60" s="94"/>
      <c r="E60" s="95"/>
      <c r="F60" s="96"/>
      <c r="G60" s="96"/>
      <c r="H60" s="96"/>
      <c r="I60" s="141">
        <f t="shared" si="0"/>
        <v>0</v>
      </c>
      <c r="J60" s="96"/>
      <c r="K60" s="96"/>
      <c r="L60" s="143">
        <f t="shared" si="1"/>
        <v>0</v>
      </c>
      <c r="M60" s="97"/>
      <c r="N60" s="97"/>
      <c r="O60" s="97"/>
      <c r="P60" s="145">
        <f t="shared" si="2"/>
        <v>0</v>
      </c>
      <c r="Q60" s="145">
        <f t="shared" si="3"/>
        <v>0</v>
      </c>
      <c r="R60" s="145">
        <f t="shared" si="4"/>
        <v>0</v>
      </c>
      <c r="S60" s="98"/>
    </row>
    <row r="61" spans="2:19" x14ac:dyDescent="0.25">
      <c r="B61" s="84">
        <v>39</v>
      </c>
      <c r="C61" s="94"/>
      <c r="D61" s="94"/>
      <c r="E61" s="95"/>
      <c r="F61" s="96"/>
      <c r="G61" s="96"/>
      <c r="H61" s="96"/>
      <c r="I61" s="141">
        <f t="shared" si="0"/>
        <v>0</v>
      </c>
      <c r="J61" s="96"/>
      <c r="K61" s="96"/>
      <c r="L61" s="143">
        <f t="shared" si="1"/>
        <v>0</v>
      </c>
      <c r="M61" s="97"/>
      <c r="N61" s="97"/>
      <c r="O61" s="97"/>
      <c r="P61" s="145">
        <f t="shared" si="2"/>
        <v>0</v>
      </c>
      <c r="Q61" s="145">
        <f t="shared" si="3"/>
        <v>0</v>
      </c>
      <c r="R61" s="145">
        <f t="shared" si="4"/>
        <v>0</v>
      </c>
      <c r="S61" s="98"/>
    </row>
    <row r="62" spans="2:19" x14ac:dyDescent="0.25">
      <c r="B62" s="84">
        <v>40</v>
      </c>
      <c r="C62" s="94"/>
      <c r="D62" s="94"/>
      <c r="E62" s="95"/>
      <c r="F62" s="96"/>
      <c r="G62" s="96"/>
      <c r="H62" s="96"/>
      <c r="I62" s="141">
        <f t="shared" si="0"/>
        <v>0</v>
      </c>
      <c r="J62" s="96"/>
      <c r="K62" s="96"/>
      <c r="L62" s="143">
        <f t="shared" si="1"/>
        <v>0</v>
      </c>
      <c r="M62" s="97"/>
      <c r="N62" s="97"/>
      <c r="O62" s="97"/>
      <c r="P62" s="145">
        <f t="shared" si="2"/>
        <v>0</v>
      </c>
      <c r="Q62" s="145">
        <f t="shared" si="3"/>
        <v>0</v>
      </c>
      <c r="R62" s="145">
        <f t="shared" si="4"/>
        <v>0</v>
      </c>
      <c r="S62" s="98"/>
    </row>
    <row r="63" spans="2:19" x14ac:dyDescent="0.25">
      <c r="B63" s="84">
        <v>41</v>
      </c>
      <c r="C63" s="94"/>
      <c r="D63" s="94"/>
      <c r="E63" s="95"/>
      <c r="F63" s="96"/>
      <c r="G63" s="96"/>
      <c r="H63" s="96"/>
      <c r="I63" s="141">
        <f t="shared" si="0"/>
        <v>0</v>
      </c>
      <c r="J63" s="96"/>
      <c r="K63" s="96"/>
      <c r="L63" s="143">
        <f t="shared" si="1"/>
        <v>0</v>
      </c>
      <c r="M63" s="97"/>
      <c r="N63" s="97"/>
      <c r="O63" s="97"/>
      <c r="P63" s="145">
        <f t="shared" si="2"/>
        <v>0</v>
      </c>
      <c r="Q63" s="145">
        <f t="shared" si="3"/>
        <v>0</v>
      </c>
      <c r="R63" s="145">
        <f t="shared" si="4"/>
        <v>0</v>
      </c>
      <c r="S63" s="98"/>
    </row>
    <row r="64" spans="2:19" ht="17.25" thickBot="1" x14ac:dyDescent="0.3">
      <c r="B64" s="84">
        <v>42</v>
      </c>
      <c r="C64" s="94"/>
      <c r="D64" s="94"/>
      <c r="E64" s="95"/>
      <c r="F64" s="96"/>
      <c r="G64" s="96"/>
      <c r="H64" s="96"/>
      <c r="I64" s="141">
        <f t="shared" si="0"/>
        <v>0</v>
      </c>
      <c r="J64" s="96"/>
      <c r="K64" s="96"/>
      <c r="L64" s="143">
        <f t="shared" si="1"/>
        <v>0</v>
      </c>
      <c r="M64" s="99"/>
      <c r="N64" s="99"/>
      <c r="O64" s="99"/>
      <c r="P64" s="145">
        <f t="shared" si="2"/>
        <v>0</v>
      </c>
      <c r="Q64" s="146">
        <f t="shared" si="3"/>
        <v>0</v>
      </c>
      <c r="R64" s="146">
        <f t="shared" si="4"/>
        <v>0</v>
      </c>
      <c r="S64" s="100"/>
    </row>
    <row r="65" spans="2:19" s="106" customFormat="1" ht="17.25" customHeight="1" thickBot="1" x14ac:dyDescent="0.3">
      <c r="B65" s="325" t="s">
        <v>215</v>
      </c>
      <c r="C65" s="326"/>
      <c r="D65" s="326"/>
      <c r="E65" s="327"/>
      <c r="F65" s="101">
        <f>SUM(F7:F64)</f>
        <v>5245822617</v>
      </c>
      <c r="G65" s="101">
        <f>SUM(G7:G64)</f>
        <v>1832701327.02</v>
      </c>
      <c r="H65" s="102">
        <f>SUM(H7:H64)</f>
        <v>1210547863</v>
      </c>
      <c r="I65" s="142"/>
      <c r="J65" s="104" t="e">
        <f>SUM(J7:J64)</f>
        <v>#REF!</v>
      </c>
      <c r="K65" s="101" t="e">
        <f>SUM(K7:K64)</f>
        <v>#REF!</v>
      </c>
      <c r="L65" s="144" t="e">
        <f>SUM(L7:L64)</f>
        <v>#REF!</v>
      </c>
      <c r="M65" s="105"/>
      <c r="N65" s="105"/>
      <c r="O65" s="105"/>
      <c r="P65" s="105"/>
      <c r="Q65" s="103"/>
      <c r="R65" s="103"/>
      <c r="S65" s="103"/>
    </row>
    <row r="67" spans="2:19" ht="13.9" customHeight="1" x14ac:dyDescent="0.25">
      <c r="F67" s="331" t="s">
        <v>316</v>
      </c>
      <c r="G67" s="331"/>
      <c r="H67" s="331"/>
      <c r="I67" s="331"/>
      <c r="J67" s="331"/>
      <c r="M67" s="300" t="s">
        <v>321</v>
      </c>
      <c r="N67" s="300" t="s">
        <v>320</v>
      </c>
    </row>
    <row r="68" spans="2:19" x14ac:dyDescent="0.25">
      <c r="E68" s="83"/>
      <c r="F68" s="107">
        <v>2022</v>
      </c>
      <c r="G68" s="108">
        <v>2023</v>
      </c>
      <c r="H68" s="109">
        <v>2024</v>
      </c>
      <c r="I68" s="172">
        <v>2025</v>
      </c>
      <c r="J68" s="174">
        <v>2026</v>
      </c>
      <c r="M68" s="301"/>
      <c r="N68" s="301"/>
    </row>
    <row r="69" spans="2:19" ht="17.25" thickBot="1" x14ac:dyDescent="0.3">
      <c r="E69" s="111"/>
      <c r="F69" s="112">
        <f>SUMIF($C$7:$C$64,$F$68,$F$7:$F$64)</f>
        <v>79203000</v>
      </c>
      <c r="G69" s="113">
        <f>SUMIF($C$7:$C$64,$G$68,$F$7:$F$64)</f>
        <v>481601786</v>
      </c>
      <c r="H69" s="114">
        <f>SUMIF($C$7:$C$64,$H$68,$F$7:$F$64)</f>
        <v>2069094133</v>
      </c>
      <c r="I69" s="173">
        <f>SUMIF($C$7:$C$64,$I$68,$F$7:$F$64)</f>
        <v>2332981217.2763157</v>
      </c>
      <c r="J69" s="175">
        <f>SUMIF($C$7:$C$64,$J$68,$F$7:$F$64)</f>
        <v>282942480.72368419</v>
      </c>
      <c r="M69" s="131" t="e">
        <f>+L24+L25</f>
        <v>#REF!</v>
      </c>
      <c r="N69" s="131" t="e">
        <f>L65-M69</f>
        <v>#REF!</v>
      </c>
    </row>
    <row r="71" spans="2:19" ht="18.600000000000001" customHeight="1" x14ac:dyDescent="0.25">
      <c r="B71" s="303" t="s">
        <v>277</v>
      </c>
      <c r="C71" s="303"/>
      <c r="D71" s="303"/>
      <c r="E71" s="303"/>
      <c r="F71" s="303"/>
      <c r="G71" s="303"/>
      <c r="H71" s="303"/>
      <c r="I71" s="303"/>
      <c r="J71" s="303"/>
      <c r="K71" s="303"/>
      <c r="L71" s="303"/>
      <c r="M71" s="303"/>
      <c r="N71" s="303"/>
      <c r="O71" s="303"/>
      <c r="P71" s="303"/>
    </row>
    <row r="72" spans="2:19" ht="17.25" thickBot="1" x14ac:dyDescent="0.3"/>
    <row r="73" spans="2:19" s="79" customFormat="1" ht="14.45" customHeight="1" thickBot="1" x14ac:dyDescent="0.3">
      <c r="B73" s="328" t="s">
        <v>278</v>
      </c>
      <c r="C73" s="329"/>
      <c r="D73" s="329"/>
      <c r="E73" s="330"/>
      <c r="G73" s="302"/>
      <c r="H73" s="302"/>
      <c r="I73" s="302"/>
      <c r="J73" s="302"/>
      <c r="K73" s="302"/>
      <c r="L73" s="302"/>
      <c r="M73" s="302"/>
      <c r="N73" s="302"/>
      <c r="O73" s="302"/>
      <c r="P73" s="302"/>
      <c r="Q73" s="78"/>
    </row>
    <row r="74" spans="2:19" s="83" customFormat="1" ht="69" customHeight="1" thickBot="1" x14ac:dyDescent="0.3">
      <c r="B74" s="313" t="s">
        <v>279</v>
      </c>
      <c r="C74" s="314"/>
      <c r="D74" s="160"/>
      <c r="E74" s="115" t="s">
        <v>280</v>
      </c>
      <c r="G74" s="156" t="s">
        <v>1</v>
      </c>
      <c r="H74" s="315" t="s">
        <v>281</v>
      </c>
      <c r="I74" s="316"/>
      <c r="J74" s="157" t="s">
        <v>282</v>
      </c>
      <c r="K74" s="157" t="s">
        <v>283</v>
      </c>
      <c r="L74" s="157" t="s">
        <v>284</v>
      </c>
      <c r="M74" s="157" t="s">
        <v>285</v>
      </c>
      <c r="N74" s="158" t="s">
        <v>286</v>
      </c>
      <c r="O74" s="159" t="s">
        <v>287</v>
      </c>
      <c r="P74" s="108" t="s">
        <v>288</v>
      </c>
    </row>
    <row r="75" spans="2:19" x14ac:dyDescent="0.25">
      <c r="B75" s="311" t="s">
        <v>289</v>
      </c>
      <c r="C75" s="312"/>
      <c r="D75" s="161"/>
      <c r="E75" s="116">
        <f>[4]RECAPITULATIFS!$G$7</f>
        <v>465925</v>
      </c>
      <c r="G75" s="117" t="s">
        <v>290</v>
      </c>
      <c r="H75" s="317">
        <f>[4]RECAPITULATIFS!$E$13</f>
        <v>35000000</v>
      </c>
      <c r="I75" s="318"/>
      <c r="J75" s="85">
        <f>[4]RECAPITULATIFS!$E$14</f>
        <v>213252378.95454544</v>
      </c>
      <c r="K75" s="85">
        <f>[4]RECAPITULATIFS!$E$15</f>
        <v>311836924</v>
      </c>
      <c r="L75" s="85" t="e">
        <f>[4]RECAPITULATIFS!#REF!</f>
        <v>#REF!</v>
      </c>
      <c r="M75" s="85">
        <f>[4]RECAPITULATIFS!$E$16</f>
        <v>24288588.43</v>
      </c>
      <c r="N75" s="118" t="e">
        <f>[4]RECAPITULATIFS!#REF!</f>
        <v>#REF!</v>
      </c>
      <c r="O75" s="119" t="e">
        <f>SUM(H75:N75)</f>
        <v>#REF!</v>
      </c>
      <c r="P75" s="120" t="e">
        <f>E87-O75</f>
        <v>#REF!</v>
      </c>
      <c r="Q75" s="110"/>
    </row>
    <row r="76" spans="2:19" x14ac:dyDescent="0.25">
      <c r="B76" s="311" t="s">
        <v>291</v>
      </c>
      <c r="C76" s="312"/>
      <c r="D76" s="161"/>
      <c r="E76" s="116" t="e">
        <f>[4]RECAPITULATIFS!#REF!</f>
        <v>#REF!</v>
      </c>
      <c r="G76" s="121"/>
      <c r="H76" s="306"/>
      <c r="I76" s="307"/>
      <c r="J76" s="88"/>
      <c r="K76" s="88"/>
      <c r="L76" s="88"/>
      <c r="M76" s="88"/>
      <c r="N76" s="122"/>
      <c r="O76" s="123">
        <f t="shared" ref="O76:O89" si="5">SUM(H76:N76)</f>
        <v>0</v>
      </c>
      <c r="P76" s="120"/>
      <c r="Q76" s="110"/>
    </row>
    <row r="77" spans="2:19" x14ac:dyDescent="0.25">
      <c r="B77" s="311" t="s">
        <v>292</v>
      </c>
      <c r="C77" s="312"/>
      <c r="D77" s="161"/>
      <c r="E77" s="116">
        <f>[4]RECAPITULATIFS!$G$8</f>
        <v>38675262.550000012</v>
      </c>
      <c r="G77" s="121"/>
      <c r="H77" s="306"/>
      <c r="I77" s="307"/>
      <c r="J77" s="88"/>
      <c r="K77" s="88"/>
      <c r="L77" s="88"/>
      <c r="M77" s="88"/>
      <c r="N77" s="122"/>
      <c r="O77" s="123">
        <f t="shared" si="5"/>
        <v>0</v>
      </c>
      <c r="P77" s="120"/>
      <c r="Q77" s="110"/>
    </row>
    <row r="78" spans="2:19" x14ac:dyDescent="0.25">
      <c r="B78" s="311" t="s">
        <v>293</v>
      </c>
      <c r="C78" s="312"/>
      <c r="D78" s="161"/>
      <c r="E78" s="116">
        <f>[4]RECAPITULATIFS!$G$9</f>
        <v>352056117</v>
      </c>
      <c r="G78" s="121"/>
      <c r="H78" s="306"/>
      <c r="I78" s="307"/>
      <c r="J78" s="88"/>
      <c r="K78" s="88"/>
      <c r="L78" s="88"/>
      <c r="M78" s="88"/>
      <c r="N78" s="122"/>
      <c r="O78" s="123">
        <f t="shared" si="5"/>
        <v>0</v>
      </c>
      <c r="P78" s="120"/>
      <c r="Q78" s="110"/>
    </row>
    <row r="79" spans="2:19" x14ac:dyDescent="0.25">
      <c r="B79" s="311" t="s">
        <v>294</v>
      </c>
      <c r="C79" s="312"/>
      <c r="D79" s="161"/>
      <c r="E79" s="116">
        <f>[4]RECAPITULATIFS!$G$10</f>
        <v>240354764</v>
      </c>
      <c r="G79" s="121"/>
      <c r="H79" s="306"/>
      <c r="I79" s="307"/>
      <c r="J79" s="88"/>
      <c r="K79" s="88"/>
      <c r="L79" s="88"/>
      <c r="M79" s="88"/>
      <c r="N79" s="122"/>
      <c r="O79" s="123">
        <f t="shared" si="5"/>
        <v>0</v>
      </c>
      <c r="P79" s="120"/>
      <c r="Q79" s="110"/>
    </row>
    <row r="80" spans="2:19" x14ac:dyDescent="0.25">
      <c r="B80" s="311"/>
      <c r="C80" s="312"/>
      <c r="D80" s="161"/>
      <c r="E80" s="116"/>
      <c r="G80" s="121"/>
      <c r="H80" s="306"/>
      <c r="I80" s="307"/>
      <c r="J80" s="88"/>
      <c r="K80" s="88"/>
      <c r="L80" s="88"/>
      <c r="M80" s="88"/>
      <c r="N80" s="122"/>
      <c r="O80" s="123">
        <f t="shared" si="5"/>
        <v>0</v>
      </c>
      <c r="P80" s="120"/>
      <c r="Q80" s="110"/>
    </row>
    <row r="81" spans="2:17" x14ac:dyDescent="0.25">
      <c r="B81" s="311"/>
      <c r="C81" s="312"/>
      <c r="D81" s="161"/>
      <c r="E81" s="116"/>
      <c r="G81" s="121"/>
      <c r="H81" s="306"/>
      <c r="I81" s="307"/>
      <c r="J81" s="88"/>
      <c r="K81" s="88"/>
      <c r="L81" s="88"/>
      <c r="M81" s="88"/>
      <c r="N81" s="122"/>
      <c r="O81" s="123">
        <f t="shared" si="5"/>
        <v>0</v>
      </c>
      <c r="P81" s="120"/>
      <c r="Q81" s="110"/>
    </row>
    <row r="82" spans="2:17" x14ac:dyDescent="0.25">
      <c r="B82" s="311"/>
      <c r="C82" s="312"/>
      <c r="D82" s="161"/>
      <c r="E82" s="116"/>
      <c r="G82" s="121"/>
      <c r="H82" s="306"/>
      <c r="I82" s="307"/>
      <c r="J82" s="88"/>
      <c r="K82" s="88"/>
      <c r="L82" s="88"/>
      <c r="M82" s="88"/>
      <c r="N82" s="122"/>
      <c r="O82" s="123">
        <f t="shared" si="5"/>
        <v>0</v>
      </c>
      <c r="P82" s="120"/>
      <c r="Q82" s="110"/>
    </row>
    <row r="83" spans="2:17" x14ac:dyDescent="0.25">
      <c r="B83" s="311"/>
      <c r="C83" s="312"/>
      <c r="D83" s="161"/>
      <c r="E83" s="116"/>
      <c r="G83" s="121"/>
      <c r="H83" s="306"/>
      <c r="I83" s="307"/>
      <c r="J83" s="88"/>
      <c r="K83" s="88"/>
      <c r="L83" s="88"/>
      <c r="M83" s="88"/>
      <c r="N83" s="122"/>
      <c r="O83" s="123">
        <f t="shared" si="5"/>
        <v>0</v>
      </c>
      <c r="P83" s="120"/>
      <c r="Q83" s="110"/>
    </row>
    <row r="84" spans="2:17" x14ac:dyDescent="0.25">
      <c r="B84" s="311"/>
      <c r="C84" s="312"/>
      <c r="D84" s="161"/>
      <c r="E84" s="116"/>
      <c r="G84" s="121"/>
      <c r="H84" s="306"/>
      <c r="I84" s="307"/>
      <c r="J84" s="88"/>
      <c r="K84" s="88"/>
      <c r="L84" s="88"/>
      <c r="M84" s="88"/>
      <c r="N84" s="122"/>
      <c r="O84" s="123">
        <f t="shared" si="5"/>
        <v>0</v>
      </c>
      <c r="P84" s="120"/>
      <c r="Q84" s="110"/>
    </row>
    <row r="85" spans="2:17" x14ac:dyDescent="0.25">
      <c r="B85" s="311"/>
      <c r="C85" s="312"/>
      <c r="D85" s="161"/>
      <c r="E85" s="116"/>
      <c r="G85" s="121"/>
      <c r="H85" s="306"/>
      <c r="I85" s="307"/>
      <c r="J85" s="88"/>
      <c r="K85" s="88"/>
      <c r="L85" s="88"/>
      <c r="M85" s="88"/>
      <c r="N85" s="122"/>
      <c r="O85" s="123">
        <f t="shared" si="5"/>
        <v>0</v>
      </c>
      <c r="P85" s="120"/>
      <c r="Q85" s="110"/>
    </row>
    <row r="86" spans="2:17" ht="17.25" thickBot="1" x14ac:dyDescent="0.3">
      <c r="B86" s="304"/>
      <c r="C86" s="305"/>
      <c r="D86" s="162"/>
      <c r="E86" s="124"/>
      <c r="G86" s="121"/>
      <c r="H86" s="306"/>
      <c r="I86" s="307"/>
      <c r="J86" s="88"/>
      <c r="K86" s="88"/>
      <c r="L86" s="88"/>
      <c r="M86" s="88"/>
      <c r="N86" s="122"/>
      <c r="O86" s="123">
        <f t="shared" si="5"/>
        <v>0</v>
      </c>
      <c r="P86" s="120"/>
      <c r="Q86" s="110"/>
    </row>
    <row r="87" spans="2:17" ht="17.25" thickBot="1" x14ac:dyDescent="0.3">
      <c r="B87" s="298" t="s">
        <v>215</v>
      </c>
      <c r="C87" s="299"/>
      <c r="D87" s="163"/>
      <c r="E87" s="102" t="e">
        <f>SUM(E75:E86)</f>
        <v>#REF!</v>
      </c>
      <c r="G87" s="121"/>
      <c r="H87" s="306"/>
      <c r="I87" s="307"/>
      <c r="J87" s="88"/>
      <c r="K87" s="88"/>
      <c r="L87" s="88"/>
      <c r="M87" s="88"/>
      <c r="N87" s="122"/>
      <c r="O87" s="123">
        <f t="shared" si="5"/>
        <v>0</v>
      </c>
      <c r="P87" s="120"/>
      <c r="Q87" s="110"/>
    </row>
    <row r="88" spans="2:17" x14ac:dyDescent="0.25">
      <c r="G88" s="121"/>
      <c r="H88" s="308"/>
      <c r="I88" s="306"/>
      <c r="J88" s="88"/>
      <c r="K88" s="88"/>
      <c r="L88" s="88"/>
      <c r="M88" s="88"/>
      <c r="N88" s="122"/>
      <c r="O88" s="123">
        <f t="shared" si="5"/>
        <v>0</v>
      </c>
      <c r="P88" s="120"/>
      <c r="Q88" s="110"/>
    </row>
    <row r="89" spans="2:17" ht="17.25" thickBot="1" x14ac:dyDescent="0.3">
      <c r="G89" s="125"/>
      <c r="H89" s="309"/>
      <c r="I89" s="310"/>
      <c r="J89" s="96"/>
      <c r="K89" s="96"/>
      <c r="L89" s="96"/>
      <c r="M89" s="96"/>
      <c r="N89" s="126"/>
      <c r="O89" s="127">
        <f t="shared" si="5"/>
        <v>0</v>
      </c>
      <c r="P89" s="120"/>
      <c r="Q89" s="110"/>
    </row>
    <row r="90" spans="2:17" ht="17.25" thickBot="1" x14ac:dyDescent="0.3">
      <c r="G90" s="298" t="s">
        <v>215</v>
      </c>
      <c r="H90" s="299"/>
      <c r="I90" s="299"/>
      <c r="J90" s="128">
        <f>SUM(J75:J89)</f>
        <v>213252378.95454544</v>
      </c>
      <c r="K90" s="128">
        <f>SUM(K75:K89)</f>
        <v>311836924</v>
      </c>
      <c r="L90" s="128" t="e">
        <f>SUM(L75:L89)</f>
        <v>#REF!</v>
      </c>
      <c r="M90" s="128">
        <f>SUM(M75:M89)</f>
        <v>24288588.43</v>
      </c>
      <c r="N90" s="129"/>
      <c r="O90" s="130" t="e">
        <f>SUM(O75:O89)</f>
        <v>#REF!</v>
      </c>
      <c r="P90" s="131"/>
      <c r="Q90" s="132"/>
    </row>
  </sheetData>
  <sortState xmlns:xlrd2="http://schemas.microsoft.com/office/spreadsheetml/2017/richdata2" ref="B7:S65">
    <sortCondition ref="C7:C65"/>
  </sortState>
  <mergeCells count="40">
    <mergeCell ref="B2:S2"/>
    <mergeCell ref="B4:S4"/>
    <mergeCell ref="B65:E65"/>
    <mergeCell ref="B73:E73"/>
    <mergeCell ref="F67:J67"/>
    <mergeCell ref="B74:C74"/>
    <mergeCell ref="H74:I74"/>
    <mergeCell ref="B75:C75"/>
    <mergeCell ref="H75:I75"/>
    <mergeCell ref="B76:C76"/>
    <mergeCell ref="H76:I76"/>
    <mergeCell ref="B77:C77"/>
    <mergeCell ref="H77:I77"/>
    <mergeCell ref="B78:C78"/>
    <mergeCell ref="H78:I78"/>
    <mergeCell ref="B79:C79"/>
    <mergeCell ref="H79:I79"/>
    <mergeCell ref="H85:I85"/>
    <mergeCell ref="B80:C80"/>
    <mergeCell ref="H80:I80"/>
    <mergeCell ref="B81:C81"/>
    <mergeCell ref="H81:I81"/>
    <mergeCell ref="B82:C82"/>
    <mergeCell ref="H82:I82"/>
    <mergeCell ref="G90:I90"/>
    <mergeCell ref="M67:M68"/>
    <mergeCell ref="N67:N68"/>
    <mergeCell ref="G73:P73"/>
    <mergeCell ref="B71:P71"/>
    <mergeCell ref="B86:C86"/>
    <mergeCell ref="H86:I86"/>
    <mergeCell ref="B87:C87"/>
    <mergeCell ref="H87:I87"/>
    <mergeCell ref="H88:I88"/>
    <mergeCell ref="H89:I89"/>
    <mergeCell ref="B83:C83"/>
    <mergeCell ref="H83:I83"/>
    <mergeCell ref="B84:C84"/>
    <mergeCell ref="H84:I84"/>
    <mergeCell ref="B85:C85"/>
  </mergeCells>
  <phoneticPr fontId="10" type="noConversion"/>
  <conditionalFormatting sqref="P7:P64">
    <cfRule type="cellIs" dxfId="2" priority="1" operator="greaterThan">
      <formula>1</formula>
    </cfRule>
  </conditionalFormatting>
  <dataValidations count="3">
    <dataValidation type="list" allowBlank="1" showInputMessage="1" showErrorMessage="1" sqref="G75:G89" xr:uid="{8D33E7B3-7408-4519-B046-6C58746A5F32}">
      <formula1>mois</formula1>
    </dataValidation>
    <dataValidation type="list" allowBlank="1" showInputMessage="1" showErrorMessage="1" sqref="C7:C64" xr:uid="{62FC4517-6090-4D6B-9E36-D6CDB23768DA}">
      <formula1>annee</formula1>
    </dataValidation>
    <dataValidation type="list" allowBlank="1" showInputMessage="1" showErrorMessage="1" sqref="S7:S64" xr:uid="{3EE83AEC-B2A6-4EF4-9992-30DB764540D6}">
      <formula1>STATUT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E4DA6-0548-4C6B-AF9E-6F05D96B4249}">
  <sheetPr>
    <pageSetUpPr fitToPage="1"/>
  </sheetPr>
  <dimension ref="A1:H35"/>
  <sheetViews>
    <sheetView showGridLines="0" zoomScaleNormal="100" zoomScaleSheetLayoutView="70" workbookViewId="0">
      <selection activeCell="K17" sqref="K17"/>
    </sheetView>
  </sheetViews>
  <sheetFormatPr baseColWidth="10" defaultColWidth="11.5703125" defaultRowHeight="13.5" x14ac:dyDescent="0.25"/>
  <cols>
    <col min="1" max="1" width="2.140625" style="202" customWidth="1"/>
    <col min="2" max="2" width="4.42578125" style="203" customWidth="1"/>
    <col min="3" max="3" width="7" style="204" customWidth="1"/>
    <col min="4" max="4" width="8.85546875" style="204" customWidth="1"/>
    <col min="5" max="5" width="48.5703125" style="204" customWidth="1"/>
    <col min="6" max="6" width="13.5703125" style="204" customWidth="1"/>
    <col min="7" max="7" width="15.85546875" style="204" customWidth="1"/>
    <col min="8" max="8" width="11.5703125" style="202"/>
    <col min="9" max="16384" width="11.5703125" style="204"/>
  </cols>
  <sheetData>
    <row r="1" spans="1:8" ht="15.75" customHeight="1" x14ac:dyDescent="0.25"/>
    <row r="2" spans="1:8" ht="6.75" customHeight="1" x14ac:dyDescent="0.25"/>
    <row r="3" spans="1:8" ht="4.5" customHeight="1" x14ac:dyDescent="0.25"/>
    <row r="4" spans="1:8" s="207" customFormat="1" ht="31.15" customHeight="1" x14ac:dyDescent="0.25">
      <c r="A4" s="205"/>
      <c r="B4" s="206" t="s">
        <v>244</v>
      </c>
      <c r="C4" s="206" t="s">
        <v>245</v>
      </c>
      <c r="D4" s="206" t="s">
        <v>355</v>
      </c>
      <c r="E4" s="206" t="s">
        <v>246</v>
      </c>
      <c r="F4" s="206" t="s">
        <v>247</v>
      </c>
      <c r="G4" s="206" t="s">
        <v>260</v>
      </c>
      <c r="H4" s="205"/>
    </row>
    <row r="5" spans="1:8" ht="21.75" customHeight="1" x14ac:dyDescent="0.25">
      <c r="B5" s="208">
        <v>1</v>
      </c>
      <c r="C5" s="208">
        <v>2022</v>
      </c>
      <c r="D5" s="209" t="s">
        <v>270</v>
      </c>
      <c r="E5" s="209" t="s">
        <v>270</v>
      </c>
      <c r="F5" s="210">
        <v>15375000</v>
      </c>
      <c r="G5" s="211" t="s">
        <v>265</v>
      </c>
    </row>
    <row r="6" spans="1:8" ht="21.75" customHeight="1" x14ac:dyDescent="0.25">
      <c r="B6" s="208">
        <v>2</v>
      </c>
      <c r="C6" s="208">
        <v>2022</v>
      </c>
      <c r="D6" s="209" t="s">
        <v>271</v>
      </c>
      <c r="E6" s="209" t="s">
        <v>271</v>
      </c>
      <c r="F6" s="210">
        <v>25000000</v>
      </c>
      <c r="G6" s="211" t="s">
        <v>265</v>
      </c>
    </row>
    <row r="7" spans="1:8" ht="21.75" customHeight="1" x14ac:dyDescent="0.25">
      <c r="B7" s="208">
        <v>3</v>
      </c>
      <c r="C7" s="208">
        <v>2022</v>
      </c>
      <c r="D7" s="209" t="s">
        <v>272</v>
      </c>
      <c r="E7" s="209" t="s">
        <v>272</v>
      </c>
      <c r="F7" s="210">
        <v>24740000</v>
      </c>
      <c r="G7" s="211" t="s">
        <v>265</v>
      </c>
    </row>
    <row r="8" spans="1:8" ht="21.75" customHeight="1" x14ac:dyDescent="0.25">
      <c r="B8" s="208">
        <v>4</v>
      </c>
      <c r="C8" s="208">
        <v>2022</v>
      </c>
      <c r="D8" s="209" t="s">
        <v>273</v>
      </c>
      <c r="E8" s="209" t="s">
        <v>273</v>
      </c>
      <c r="F8" s="210">
        <v>3300000</v>
      </c>
      <c r="G8" s="211" t="s">
        <v>265</v>
      </c>
    </row>
    <row r="9" spans="1:8" ht="21.75" customHeight="1" x14ac:dyDescent="0.25">
      <c r="B9" s="208">
        <v>5</v>
      </c>
      <c r="C9" s="208">
        <v>2022</v>
      </c>
      <c r="D9" s="209" t="s">
        <v>274</v>
      </c>
      <c r="E9" s="209" t="s">
        <v>274</v>
      </c>
      <c r="F9" s="210">
        <v>40000000</v>
      </c>
      <c r="G9" s="211" t="s">
        <v>265</v>
      </c>
    </row>
    <row r="10" spans="1:8" ht="21.75" customHeight="1" x14ac:dyDescent="0.25">
      <c r="B10" s="208">
        <v>6</v>
      </c>
      <c r="C10" s="208">
        <v>2022</v>
      </c>
      <c r="D10" s="209" t="s">
        <v>275</v>
      </c>
      <c r="E10" s="209" t="s">
        <v>275</v>
      </c>
      <c r="F10" s="210">
        <v>20700000</v>
      </c>
      <c r="G10" s="211" t="s">
        <v>265</v>
      </c>
    </row>
    <row r="11" spans="1:8" ht="21.75" customHeight="1" x14ac:dyDescent="0.25">
      <c r="B11" s="208">
        <v>7</v>
      </c>
      <c r="C11" s="208">
        <v>2023</v>
      </c>
      <c r="D11" s="209" t="s">
        <v>205</v>
      </c>
      <c r="E11" s="209" t="s">
        <v>261</v>
      </c>
      <c r="F11" s="212">
        <v>1327731959</v>
      </c>
      <c r="G11" s="208" t="s">
        <v>262</v>
      </c>
    </row>
    <row r="12" spans="1:8" ht="21.75" customHeight="1" x14ac:dyDescent="0.25">
      <c r="B12" s="208">
        <v>8</v>
      </c>
      <c r="C12" s="208">
        <v>2023</v>
      </c>
      <c r="D12" s="209" t="s">
        <v>206</v>
      </c>
      <c r="E12" s="209" t="s">
        <v>206</v>
      </c>
      <c r="F12" s="210">
        <v>341900000</v>
      </c>
      <c r="G12" s="208" t="s">
        <v>262</v>
      </c>
    </row>
    <row r="13" spans="1:8" ht="21.75" customHeight="1" x14ac:dyDescent="0.25">
      <c r="B13" s="208">
        <v>9</v>
      </c>
      <c r="C13" s="208">
        <v>2023</v>
      </c>
      <c r="D13" s="209" t="s">
        <v>381</v>
      </c>
      <c r="E13" s="209" t="s">
        <v>263</v>
      </c>
      <c r="F13" s="210">
        <v>32250000</v>
      </c>
      <c r="G13" s="208" t="s">
        <v>262</v>
      </c>
    </row>
    <row r="14" spans="1:8" ht="21.75" customHeight="1" x14ac:dyDescent="0.25">
      <c r="B14" s="208">
        <v>10</v>
      </c>
      <c r="C14" s="208">
        <v>2023</v>
      </c>
      <c r="D14" s="209" t="s">
        <v>271</v>
      </c>
      <c r="E14" s="209" t="s">
        <v>271</v>
      </c>
      <c r="F14" s="210">
        <v>8500000</v>
      </c>
      <c r="G14" s="211" t="s">
        <v>265</v>
      </c>
    </row>
    <row r="15" spans="1:8" s="202" customFormat="1" ht="21.75" customHeight="1" x14ac:dyDescent="0.25">
      <c r="B15" s="221">
        <v>11</v>
      </c>
      <c r="C15" s="222">
        <v>2023</v>
      </c>
      <c r="D15" s="223" t="s">
        <v>274</v>
      </c>
      <c r="E15" s="223" t="s">
        <v>274</v>
      </c>
      <c r="F15" s="224">
        <v>68880000</v>
      </c>
      <c r="G15" s="222" t="s">
        <v>276</v>
      </c>
    </row>
    <row r="16" spans="1:8" s="202" customFormat="1" ht="21.75" customHeight="1" x14ac:dyDescent="0.25">
      <c r="B16" s="221">
        <v>12</v>
      </c>
      <c r="C16" s="222">
        <v>2023</v>
      </c>
      <c r="D16" s="223" t="s">
        <v>358</v>
      </c>
      <c r="E16" s="223" t="s">
        <v>214</v>
      </c>
      <c r="F16" s="224">
        <v>165000000</v>
      </c>
      <c r="G16" s="222" t="s">
        <v>276</v>
      </c>
    </row>
    <row r="17" spans="1:8" s="202" customFormat="1" ht="21.75" customHeight="1" x14ac:dyDescent="0.25">
      <c r="B17" s="208">
        <v>13</v>
      </c>
      <c r="C17" s="213">
        <v>2024</v>
      </c>
      <c r="D17" s="214" t="s">
        <v>357</v>
      </c>
      <c r="E17" s="214" t="s">
        <v>264</v>
      </c>
      <c r="F17" s="215">
        <v>882000000</v>
      </c>
      <c r="G17" s="213" t="s">
        <v>262</v>
      </c>
    </row>
    <row r="18" spans="1:8" ht="30.75" customHeight="1" x14ac:dyDescent="0.25">
      <c r="B18" s="208">
        <v>14</v>
      </c>
      <c r="C18" s="208">
        <v>2024</v>
      </c>
      <c r="D18" s="209" t="s">
        <v>209</v>
      </c>
      <c r="E18" s="209" t="s">
        <v>379</v>
      </c>
      <c r="F18" s="210">
        <v>431615463</v>
      </c>
      <c r="G18" s="211" t="s">
        <v>265</v>
      </c>
    </row>
    <row r="19" spans="1:8" ht="24" customHeight="1" x14ac:dyDescent="0.25">
      <c r="B19" s="208">
        <v>15</v>
      </c>
      <c r="C19" s="208">
        <v>2024</v>
      </c>
      <c r="D19" s="209" t="s">
        <v>211</v>
      </c>
      <c r="E19" s="209" t="s">
        <v>378</v>
      </c>
      <c r="F19" s="210">
        <v>309056338</v>
      </c>
      <c r="G19" s="208" t="s">
        <v>262</v>
      </c>
    </row>
    <row r="20" spans="1:8" ht="24" customHeight="1" x14ac:dyDescent="0.25">
      <c r="B20" s="208">
        <v>16</v>
      </c>
      <c r="C20" s="208">
        <v>2024</v>
      </c>
      <c r="D20" s="209" t="s">
        <v>212</v>
      </c>
      <c r="E20" s="209" t="s">
        <v>377</v>
      </c>
      <c r="F20" s="210">
        <v>11200000</v>
      </c>
      <c r="G20" s="208" t="s">
        <v>262</v>
      </c>
    </row>
    <row r="21" spans="1:8" ht="24" customHeight="1" x14ac:dyDescent="0.25">
      <c r="B21" s="208">
        <v>17</v>
      </c>
      <c r="C21" s="208">
        <v>2024</v>
      </c>
      <c r="D21" s="209" t="s">
        <v>213</v>
      </c>
      <c r="E21" s="209" t="s">
        <v>376</v>
      </c>
      <c r="F21" s="210">
        <v>118800000</v>
      </c>
      <c r="G21" s="208" t="s">
        <v>262</v>
      </c>
    </row>
    <row r="22" spans="1:8" ht="24" customHeight="1" x14ac:dyDescent="0.25">
      <c r="B22" s="208">
        <v>18</v>
      </c>
      <c r="C22" s="208">
        <v>2024</v>
      </c>
      <c r="D22" s="209" t="s">
        <v>358</v>
      </c>
      <c r="E22" s="209" t="s">
        <v>375</v>
      </c>
      <c r="F22" s="210">
        <f>7500000*16</f>
        <v>120000000</v>
      </c>
      <c r="G22" s="208" t="s">
        <v>262</v>
      </c>
    </row>
    <row r="23" spans="1:8" ht="24" customHeight="1" x14ac:dyDescent="0.25">
      <c r="B23" s="208">
        <v>19</v>
      </c>
      <c r="C23" s="208">
        <v>2025</v>
      </c>
      <c r="D23" s="209" t="s">
        <v>357</v>
      </c>
      <c r="E23" s="209" t="s">
        <v>266</v>
      </c>
      <c r="F23" s="210">
        <v>199470000</v>
      </c>
      <c r="G23" s="208" t="s">
        <v>262</v>
      </c>
    </row>
    <row r="24" spans="1:8" ht="30.75" customHeight="1" x14ac:dyDescent="0.25">
      <c r="B24" s="208">
        <v>20</v>
      </c>
      <c r="C24" s="208">
        <v>2025</v>
      </c>
      <c r="D24" s="209" t="s">
        <v>209</v>
      </c>
      <c r="E24" s="209" t="s">
        <v>380</v>
      </c>
      <c r="F24" s="212">
        <v>384911850</v>
      </c>
      <c r="G24" s="208" t="s">
        <v>262</v>
      </c>
    </row>
    <row r="25" spans="1:8" ht="24.75" customHeight="1" x14ac:dyDescent="0.25">
      <c r="B25" s="208">
        <v>21</v>
      </c>
      <c r="C25" s="208">
        <v>2025</v>
      </c>
      <c r="D25" s="209" t="s">
        <v>357</v>
      </c>
      <c r="E25" s="209" t="s">
        <v>240</v>
      </c>
      <c r="F25" s="212">
        <v>372908000</v>
      </c>
      <c r="G25" s="208" t="s">
        <v>373</v>
      </c>
    </row>
    <row r="26" spans="1:8" ht="24.75" customHeight="1" x14ac:dyDescent="0.25">
      <c r="B26" s="208">
        <v>22</v>
      </c>
      <c r="C26" s="208">
        <v>2025</v>
      </c>
      <c r="D26" s="209" t="s">
        <v>357</v>
      </c>
      <c r="E26" s="209" t="s">
        <v>267</v>
      </c>
      <c r="F26" s="212">
        <v>74884000</v>
      </c>
      <c r="G26" s="208" t="s">
        <v>373</v>
      </c>
    </row>
    <row r="27" spans="1:8" ht="24.75" customHeight="1" x14ac:dyDescent="0.25">
      <c r="B27" s="208">
        <v>23</v>
      </c>
      <c r="C27" s="208">
        <v>2025</v>
      </c>
      <c r="D27" s="209" t="s">
        <v>357</v>
      </c>
      <c r="E27" s="209" t="s">
        <v>268</v>
      </c>
      <c r="F27" s="212">
        <v>323000000</v>
      </c>
      <c r="G27" s="208" t="s">
        <v>373</v>
      </c>
    </row>
    <row r="28" spans="1:8" ht="24.75" customHeight="1" x14ac:dyDescent="0.25">
      <c r="B28" s="208">
        <v>24</v>
      </c>
      <c r="C28" s="208">
        <v>2025</v>
      </c>
      <c r="D28" s="209" t="s">
        <v>239</v>
      </c>
      <c r="E28" s="209" t="s">
        <v>374</v>
      </c>
      <c r="F28" s="212">
        <v>3375000</v>
      </c>
      <c r="G28" s="208" t="s">
        <v>373</v>
      </c>
    </row>
    <row r="29" spans="1:8" ht="30.75" customHeight="1" x14ac:dyDescent="0.25">
      <c r="B29" s="208">
        <v>25</v>
      </c>
      <c r="C29" s="208">
        <v>2025</v>
      </c>
      <c r="D29" s="209" t="s">
        <v>205</v>
      </c>
      <c r="E29" s="209" t="s">
        <v>356</v>
      </c>
      <c r="F29" s="212">
        <v>40000000</v>
      </c>
      <c r="G29" s="208" t="s">
        <v>373</v>
      </c>
    </row>
    <row r="30" spans="1:8" ht="30.75" customHeight="1" x14ac:dyDescent="0.25">
      <c r="B30" s="208">
        <v>26</v>
      </c>
      <c r="C30" s="208">
        <v>2025</v>
      </c>
      <c r="D30" s="209" t="s">
        <v>357</v>
      </c>
      <c r="E30" s="209" t="s">
        <v>372</v>
      </c>
      <c r="F30" s="210">
        <v>945652000</v>
      </c>
      <c r="G30" s="208" t="s">
        <v>373</v>
      </c>
    </row>
    <row r="31" spans="1:8" s="219" customFormat="1" ht="30.75" customHeight="1" x14ac:dyDescent="0.25">
      <c r="A31" s="216"/>
      <c r="B31" s="332" t="s">
        <v>215</v>
      </c>
      <c r="C31" s="332"/>
      <c r="D31" s="332"/>
      <c r="E31" s="332"/>
      <c r="F31" s="217">
        <f>SUM(F5:F30)</f>
        <v>6290249610</v>
      </c>
      <c r="G31" s="218"/>
      <c r="H31" s="216"/>
    </row>
    <row r="33" spans="5:5" ht="13.9" customHeight="1" x14ac:dyDescent="0.25"/>
    <row r="34" spans="5:5" x14ac:dyDescent="0.25">
      <c r="E34" s="207"/>
    </row>
    <row r="35" spans="5:5" x14ac:dyDescent="0.25">
      <c r="E35" s="220"/>
    </row>
  </sheetData>
  <mergeCells count="1">
    <mergeCell ref="B31:E31"/>
  </mergeCells>
  <dataValidations count="2">
    <dataValidation type="list" allowBlank="1" showInputMessage="1" showErrorMessage="1" sqref="G5:G30" xr:uid="{3863F31C-A82E-4374-8334-9E6582726036}">
      <formula1>STATUT</formula1>
    </dataValidation>
    <dataValidation type="list" allowBlank="1" showInputMessage="1" showErrorMessage="1" sqref="C5:C30" xr:uid="{997F2621-4C4F-4728-95E2-C4EA7357B324}">
      <formula1>annee</formula1>
    </dataValidation>
  </dataValidations>
  <pageMargins left="0.7" right="0.7" top="0.75" bottom="0.75" header="0.3" footer="0.3"/>
  <pageSetup paperSize="9" scale="8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705A3-5FA6-4612-937D-33C63DE21092}">
  <dimension ref="A1:O20"/>
  <sheetViews>
    <sheetView showGridLines="0" zoomScale="130" zoomScaleNormal="130" zoomScaleSheetLayoutView="70" workbookViewId="0">
      <selection activeCell="F19" sqref="F19"/>
    </sheetView>
  </sheetViews>
  <sheetFormatPr baseColWidth="10" defaultColWidth="11.5703125" defaultRowHeight="9" outlineLevelRow="1" x14ac:dyDescent="0.25"/>
  <cols>
    <col min="1" max="1" width="2.140625" style="227" customWidth="1"/>
    <col min="2" max="2" width="3.5703125" style="228" customWidth="1"/>
    <col min="3" max="3" width="6.140625" style="229" customWidth="1"/>
    <col min="4" max="4" width="7.85546875" style="229" customWidth="1"/>
    <col min="5" max="5" width="11.42578125" style="229" customWidth="1"/>
    <col min="6" max="7" width="10.85546875" style="229" customWidth="1"/>
    <col min="8" max="8" width="8" style="229" customWidth="1"/>
    <col min="9" max="9" width="12.28515625" style="229" customWidth="1"/>
    <col min="10" max="10" width="11.5703125" style="229" customWidth="1"/>
    <col min="11" max="11" width="12.28515625" style="229" customWidth="1"/>
    <col min="12" max="14" width="7" style="229" customWidth="1"/>
    <col min="15" max="15" width="11.5703125" style="227"/>
    <col min="16" max="16384" width="11.5703125" style="229"/>
  </cols>
  <sheetData>
    <row r="1" spans="1:15" ht="15.75" customHeight="1" x14ac:dyDescent="0.25"/>
    <row r="2" spans="1:15" ht="6.75" customHeight="1" x14ac:dyDescent="0.25"/>
    <row r="3" spans="1:15" ht="15.75" customHeight="1" x14ac:dyDescent="0.25"/>
    <row r="4" spans="1:15" ht="15.75" customHeight="1" x14ac:dyDescent="0.25"/>
    <row r="5" spans="1:15" ht="20.25" customHeight="1" x14ac:dyDescent="0.25"/>
    <row r="6" spans="1:15" ht="6.75" customHeight="1" x14ac:dyDescent="0.25"/>
    <row r="7" spans="1:15" ht="6.75" customHeight="1" thickBot="1" x14ac:dyDescent="0.3"/>
    <row r="8" spans="1:15" ht="24.6" customHeight="1" thickBot="1" x14ac:dyDescent="0.3">
      <c r="B8" s="333" t="s">
        <v>383</v>
      </c>
      <c r="C8" s="334"/>
      <c r="D8" s="334"/>
      <c r="E8" s="334"/>
      <c r="F8" s="334"/>
      <c r="G8" s="334"/>
      <c r="H8" s="334"/>
      <c r="I8" s="334"/>
      <c r="J8" s="334"/>
      <c r="K8" s="334"/>
      <c r="L8" s="334"/>
      <c r="M8" s="334"/>
      <c r="N8" s="334"/>
    </row>
    <row r="9" spans="1:15" ht="5.25" customHeight="1" x14ac:dyDescent="0.25"/>
    <row r="10" spans="1:15" ht="9.75" hidden="1" outlineLevel="1" thickBot="1" x14ac:dyDescent="0.3"/>
    <row r="11" spans="1:15" ht="9.75" hidden="1" outlineLevel="1" thickBot="1" x14ac:dyDescent="0.3"/>
    <row r="12" spans="1:15" ht="15.6" customHeight="1" collapsed="1" x14ac:dyDescent="0.25">
      <c r="B12" s="335" t="s">
        <v>243</v>
      </c>
      <c r="C12" s="335"/>
      <c r="D12" s="335"/>
      <c r="E12" s="335"/>
      <c r="F12" s="335"/>
      <c r="G12" s="335"/>
      <c r="H12" s="335"/>
      <c r="I12" s="335"/>
      <c r="J12" s="335"/>
      <c r="K12" s="335"/>
      <c r="L12" s="335"/>
      <c r="M12" s="335"/>
      <c r="N12" s="335"/>
    </row>
    <row r="13" spans="1:15" ht="4.5" customHeight="1" thickBot="1" x14ac:dyDescent="0.3"/>
    <row r="14" spans="1:15" s="234" customFormat="1" ht="31.15" customHeight="1" thickBot="1" x14ac:dyDescent="0.3">
      <c r="A14" s="230"/>
      <c r="B14" s="231" t="s">
        <v>244</v>
      </c>
      <c r="C14" s="232" t="s">
        <v>245</v>
      </c>
      <c r="D14" s="232" t="s">
        <v>355</v>
      </c>
      <c r="E14" s="232" t="s">
        <v>247</v>
      </c>
      <c r="F14" s="232" t="s">
        <v>248</v>
      </c>
      <c r="G14" s="232" t="s">
        <v>249</v>
      </c>
      <c r="H14" s="233" t="s">
        <v>250</v>
      </c>
      <c r="I14" s="232" t="s">
        <v>251</v>
      </c>
      <c r="J14" s="232" t="s">
        <v>252</v>
      </c>
      <c r="K14" s="233" t="s">
        <v>253</v>
      </c>
      <c r="L14" s="233" t="s">
        <v>257</v>
      </c>
      <c r="M14" s="233" t="s">
        <v>258</v>
      </c>
      <c r="N14" s="233" t="s">
        <v>259</v>
      </c>
      <c r="O14" s="230"/>
    </row>
    <row r="15" spans="1:15" x14ac:dyDescent="0.25">
      <c r="B15" s="235">
        <v>1</v>
      </c>
      <c r="C15" s="236">
        <v>2023</v>
      </c>
      <c r="D15" s="237" t="s">
        <v>205</v>
      </c>
      <c r="E15" s="238">
        <v>1327731959</v>
      </c>
      <c r="F15" s="238">
        <f>+[5]BUDGET!$H$117</f>
        <v>693386525</v>
      </c>
      <c r="G15" s="238">
        <v>447991797</v>
      </c>
      <c r="H15" s="239">
        <f>+IFERROR(G15/(IF(F15=0,E15,F15)),0)</f>
        <v>0.64609244749888961</v>
      </c>
      <c r="I15" s="238">
        <f>'ETAT DES FACTURATIONS GLOBALES'!H46</f>
        <v>307591241</v>
      </c>
      <c r="J15" s="238">
        <f>'ETAT DES FACTURATIONS GLOBALES'!N46</f>
        <v>307591240.62</v>
      </c>
      <c r="K15" s="240">
        <f>+I15-J15</f>
        <v>0.37999999523162842</v>
      </c>
      <c r="L15" s="241">
        <v>0.79480164158686728</v>
      </c>
      <c r="M15" s="241">
        <v>0.83333334525843106</v>
      </c>
      <c r="N15" s="241">
        <v>0.84799999575215512</v>
      </c>
    </row>
    <row r="16" spans="1:15" x14ac:dyDescent="0.25">
      <c r="B16" s="235">
        <v>2</v>
      </c>
      <c r="C16" s="236">
        <v>2023</v>
      </c>
      <c r="D16" s="237" t="s">
        <v>206</v>
      </c>
      <c r="E16" s="242">
        <v>341900000</v>
      </c>
      <c r="F16" s="242">
        <f>+'[6]REVUE CE 27 JUIN'!$F$66</f>
        <v>182030000</v>
      </c>
      <c r="G16" s="242">
        <v>160000584</v>
      </c>
      <c r="H16" s="239">
        <f>+IFERROR(G16/(IF(F16=0,E16,F16)),0)</f>
        <v>0.87897920123056639</v>
      </c>
      <c r="I16" s="242">
        <f>'ETAT DES FACTURATIONS GLOBALES'!H70</f>
        <v>68374900</v>
      </c>
      <c r="J16" s="242">
        <f>'ETAT DES FACTURATIONS GLOBALES'!N70</f>
        <v>73981641.799999997</v>
      </c>
      <c r="K16" s="240">
        <f t="shared" ref="K16:K17" si="0">+I16-J16</f>
        <v>-5606741.799999997</v>
      </c>
      <c r="L16" s="241">
        <v>0.75352112676056338</v>
      </c>
      <c r="M16" s="241">
        <v>0.85033176367358876</v>
      </c>
      <c r="N16" s="241">
        <v>0.77917753733269202</v>
      </c>
    </row>
    <row r="17" spans="2:14" x14ac:dyDescent="0.25">
      <c r="B17" s="235">
        <v>3</v>
      </c>
      <c r="C17" s="236">
        <v>2024</v>
      </c>
      <c r="D17" s="237" t="s">
        <v>357</v>
      </c>
      <c r="E17" s="242">
        <v>882000000</v>
      </c>
      <c r="F17" s="242">
        <v>445022000</v>
      </c>
      <c r="G17" s="242">
        <v>176382454</v>
      </c>
      <c r="H17" s="239">
        <f>+IFERROR(G17/(IF(F17=0,E17,F17)),0)</f>
        <v>0.396345470561006</v>
      </c>
      <c r="I17" s="242">
        <f>'ETAT DES FACTURATIONS GLOBALES'!H89+'ETAT DES FACTURATIONS GLOBALES'!H103</f>
        <v>109800000</v>
      </c>
      <c r="J17" s="242">
        <f>'ETAT DES FACTURATIONS GLOBALES'!N89+'ETAT DES FACTURATIONS GLOBALES'!N103</f>
        <v>109800000</v>
      </c>
      <c r="K17" s="240">
        <f t="shared" si="0"/>
        <v>0</v>
      </c>
      <c r="L17" s="241">
        <v>0.42112482853223593</v>
      </c>
      <c r="M17" s="241">
        <v>0.570297619047619</v>
      </c>
      <c r="N17" s="241">
        <v>0.93893569117449716</v>
      </c>
    </row>
    <row r="19" spans="2:14" ht="13.9" customHeight="1" x14ac:dyDescent="0.25"/>
    <row r="20" spans="2:14" x14ac:dyDescent="0.25">
      <c r="I20" s="243"/>
    </row>
  </sheetData>
  <mergeCells count="2">
    <mergeCell ref="B8:N8"/>
    <mergeCell ref="B12:N12"/>
  </mergeCells>
  <conditionalFormatting sqref="L15:L17">
    <cfRule type="cellIs" dxfId="1" priority="1" operator="greaterThan">
      <formula>1</formula>
    </cfRule>
  </conditionalFormatting>
  <dataValidations count="1">
    <dataValidation type="list" allowBlank="1" showInputMessage="1" showErrorMessage="1" sqref="C15:C17" xr:uid="{1DE66C16-972E-424D-A317-DC6FD0F7BE0D}">
      <formula1>annee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51F09-AF58-4BA8-8CF6-60D3274300E6}">
  <dimension ref="A1:M28"/>
  <sheetViews>
    <sheetView showGridLines="0" topLeftCell="A8" zoomScale="130" zoomScaleNormal="130" zoomScaleSheetLayoutView="70" workbookViewId="0">
      <selection activeCell="I19" sqref="I19"/>
    </sheetView>
  </sheetViews>
  <sheetFormatPr baseColWidth="10" defaultColWidth="11.5703125" defaultRowHeight="15" outlineLevelRow="1" x14ac:dyDescent="0.25"/>
  <cols>
    <col min="1" max="1" width="2.140625" style="192" customWidth="1"/>
    <col min="2" max="2" width="3.42578125" style="193" customWidth="1"/>
    <col min="3" max="3" width="7" style="194" customWidth="1"/>
    <col min="4" max="4" width="22.42578125" style="194" customWidth="1"/>
    <col min="5" max="5" width="13.7109375" style="194" customWidth="1"/>
    <col min="6" max="6" width="14.5703125" style="194" customWidth="1"/>
    <col min="7" max="9" width="14.28515625" style="194" customWidth="1"/>
    <col min="10" max="12" width="7" style="194" customWidth="1"/>
    <col min="13" max="13" width="11.5703125" style="192"/>
    <col min="14" max="16384" width="11.5703125" style="194"/>
  </cols>
  <sheetData>
    <row r="1" spans="1:13" ht="15.75" customHeight="1" x14ac:dyDescent="0.25"/>
    <row r="2" spans="1:13" ht="6.75" customHeight="1" x14ac:dyDescent="0.25"/>
    <row r="3" spans="1:13" ht="15.75" customHeight="1" x14ac:dyDescent="0.25"/>
    <row r="4" spans="1:13" ht="15.75" customHeight="1" x14ac:dyDescent="0.25"/>
    <row r="5" spans="1:13" ht="20.25" customHeight="1" x14ac:dyDescent="0.25"/>
    <row r="6" spans="1:13" ht="6.75" customHeight="1" x14ac:dyDescent="0.25"/>
    <row r="7" spans="1:13" ht="6.75" customHeight="1" thickBot="1" x14ac:dyDescent="0.3"/>
    <row r="8" spans="1:13" ht="24.6" customHeight="1" thickBot="1" x14ac:dyDescent="0.3">
      <c r="B8" s="336" t="s">
        <v>382</v>
      </c>
      <c r="C8" s="337"/>
      <c r="D8" s="337"/>
      <c r="E8" s="337"/>
      <c r="F8" s="337"/>
      <c r="G8" s="337"/>
      <c r="H8" s="337"/>
      <c r="I8" s="337"/>
      <c r="J8" s="337"/>
      <c r="K8" s="337"/>
      <c r="L8" s="337"/>
    </row>
    <row r="9" spans="1:13" ht="5.25" customHeight="1" x14ac:dyDescent="0.25"/>
    <row r="10" spans="1:13" ht="17.25" hidden="1" customHeight="1" outlineLevel="1" thickBot="1" x14ac:dyDescent="0.3"/>
    <row r="11" spans="1:13" ht="17.25" hidden="1" customHeight="1" outlineLevel="1" thickBot="1" x14ac:dyDescent="0.3"/>
    <row r="12" spans="1:13" ht="15.6" customHeight="1" collapsed="1" x14ac:dyDescent="0.25">
      <c r="B12" s="338" t="s">
        <v>243</v>
      </c>
      <c r="C12" s="338"/>
      <c r="D12" s="338"/>
      <c r="E12" s="338"/>
      <c r="F12" s="338"/>
      <c r="G12" s="338"/>
      <c r="H12" s="338"/>
      <c r="I12" s="338"/>
      <c r="J12" s="338"/>
      <c r="K12" s="338"/>
      <c r="L12" s="338"/>
    </row>
    <row r="13" spans="1:13" ht="4.5" customHeight="1" x14ac:dyDescent="0.25">
      <c r="B13" s="198"/>
      <c r="C13" s="199"/>
      <c r="D13" s="199"/>
      <c r="E13" s="199"/>
      <c r="F13" s="199"/>
      <c r="G13" s="199"/>
      <c r="H13" s="199"/>
      <c r="I13" s="199"/>
      <c r="J13" s="199"/>
      <c r="K13" s="199"/>
      <c r="L13" s="199"/>
    </row>
    <row r="14" spans="1:13" s="197" customFormat="1" ht="31.15" customHeight="1" x14ac:dyDescent="0.25">
      <c r="A14" s="195"/>
      <c r="B14" s="196" t="s">
        <v>244</v>
      </c>
      <c r="C14" s="196" t="s">
        <v>245</v>
      </c>
      <c r="D14" s="196" t="s">
        <v>355</v>
      </c>
      <c r="E14" s="196" t="s">
        <v>247</v>
      </c>
      <c r="F14" s="196" t="s">
        <v>249</v>
      </c>
      <c r="G14" s="196" t="s">
        <v>251</v>
      </c>
      <c r="H14" s="196" t="s">
        <v>252</v>
      </c>
      <c r="I14" s="244" t="s">
        <v>253</v>
      </c>
      <c r="J14" s="244" t="s">
        <v>257</v>
      </c>
      <c r="K14" s="244" t="s">
        <v>258</v>
      </c>
      <c r="L14" s="244" t="s">
        <v>259</v>
      </c>
      <c r="M14" s="195"/>
    </row>
    <row r="15" spans="1:13" x14ac:dyDescent="0.25">
      <c r="B15" s="198">
        <v>1</v>
      </c>
      <c r="C15" s="198">
        <v>2023</v>
      </c>
      <c r="D15" s="199" t="s">
        <v>263</v>
      </c>
      <c r="E15" s="200">
        <v>32250000</v>
      </c>
      <c r="F15" s="200">
        <v>0</v>
      </c>
      <c r="G15" s="200">
        <f>'ETAT DES FACTURATIONS GLOBALES'!H125</f>
        <v>0</v>
      </c>
      <c r="H15" s="200">
        <f>'ETAT DES FACTURATIONS GLOBALES'!N125</f>
        <v>0</v>
      </c>
      <c r="I15" s="225">
        <f t="shared" ref="I15:I28" si="0">+G15-H15</f>
        <v>0</v>
      </c>
      <c r="J15" s="226">
        <v>0.74671669793621009</v>
      </c>
      <c r="K15" s="226">
        <v>0.94418604651162785</v>
      </c>
      <c r="L15" s="226">
        <v>0.7931034482758621</v>
      </c>
    </row>
    <row r="16" spans="1:13" x14ac:dyDescent="0.25">
      <c r="B16" s="198">
        <v>2</v>
      </c>
      <c r="C16" s="198">
        <v>2024</v>
      </c>
      <c r="D16" s="199" t="s">
        <v>209</v>
      </c>
      <c r="E16" s="200">
        <v>431615463</v>
      </c>
      <c r="F16" s="200">
        <v>161547108</v>
      </c>
      <c r="G16" s="200">
        <f>'ETAT DES FACTURATIONS GLOBALES'!H110</f>
        <v>0</v>
      </c>
      <c r="H16" s="200">
        <f>'ETAT DES FACTURATIONS GLOBALES'!N110</f>
        <v>0</v>
      </c>
      <c r="I16" s="225">
        <f t="shared" si="0"/>
        <v>0</v>
      </c>
      <c r="J16" s="226">
        <v>1</v>
      </c>
      <c r="K16" s="226">
        <v>1.0000000069506314</v>
      </c>
      <c r="L16" s="226">
        <v>0.6999999997683124</v>
      </c>
    </row>
    <row r="17" spans="2:12" x14ac:dyDescent="0.25">
      <c r="B17" s="198">
        <v>3</v>
      </c>
      <c r="C17" s="198">
        <v>2024</v>
      </c>
      <c r="D17" s="199" t="s">
        <v>211</v>
      </c>
      <c r="E17" s="200">
        <v>309056338</v>
      </c>
      <c r="F17" s="200">
        <v>296783717</v>
      </c>
      <c r="G17" s="200">
        <f>'ETAT DES FACTURATIONS GLOBALES'!H130</f>
        <v>0</v>
      </c>
      <c r="H17" s="200">
        <f>'ETAT DES FACTURATIONS GLOBALES'!N130</f>
        <v>0</v>
      </c>
      <c r="I17" s="225">
        <f t="shared" si="0"/>
        <v>0</v>
      </c>
      <c r="J17" s="226">
        <v>1.174863387978142</v>
      </c>
      <c r="K17" s="226">
        <v>0.77005028772456363</v>
      </c>
      <c r="L17" s="226">
        <v>0.45451577153662642</v>
      </c>
    </row>
    <row r="18" spans="2:12" x14ac:dyDescent="0.25">
      <c r="B18" s="198">
        <v>4</v>
      </c>
      <c r="C18" s="198">
        <v>2024</v>
      </c>
      <c r="D18" s="199" t="s">
        <v>212</v>
      </c>
      <c r="E18" s="200">
        <v>11200000</v>
      </c>
      <c r="F18" s="200">
        <v>25300</v>
      </c>
      <c r="G18" s="200">
        <f>'ETAT DES FACTURATIONS GLOBALES'!H139</f>
        <v>0</v>
      </c>
      <c r="H18" s="200">
        <f>'ETAT DES FACTURATIONS GLOBALES'!N139</f>
        <v>0</v>
      </c>
      <c r="I18" s="225">
        <f t="shared" si="0"/>
        <v>0</v>
      </c>
      <c r="J18" s="226">
        <v>0.43867924528301888</v>
      </c>
      <c r="K18" s="226">
        <v>0.7</v>
      </c>
      <c r="L18" s="226">
        <v>0.8571428571428571</v>
      </c>
    </row>
    <row r="19" spans="2:12" x14ac:dyDescent="0.25">
      <c r="B19" s="198">
        <v>5</v>
      </c>
      <c r="C19" s="198">
        <v>2024</v>
      </c>
      <c r="D19" s="199" t="s">
        <v>213</v>
      </c>
      <c r="E19" s="200">
        <v>118800000</v>
      </c>
      <c r="F19" s="200">
        <v>6359398</v>
      </c>
      <c r="G19" s="200">
        <f>'ETAT DES FACTURATIONS GLOBALES'!H151</f>
        <v>0</v>
      </c>
      <c r="H19" s="200">
        <f>'ETAT DES FACTURATIONS GLOBALES'!N151</f>
        <v>0</v>
      </c>
      <c r="I19" s="225">
        <f t="shared" si="0"/>
        <v>0</v>
      </c>
      <c r="J19" s="226">
        <v>8.4931506849315067E-2</v>
      </c>
      <c r="K19" s="226">
        <v>0.16666666666666666</v>
      </c>
      <c r="L19" s="226">
        <v>0.25</v>
      </c>
    </row>
    <row r="20" spans="2:12" x14ac:dyDescent="0.25">
      <c r="B20" s="198">
        <v>6</v>
      </c>
      <c r="C20" s="198">
        <v>2024</v>
      </c>
      <c r="D20" s="199" t="s">
        <v>214</v>
      </c>
      <c r="E20" s="200">
        <f>7500000*16</f>
        <v>120000000</v>
      </c>
      <c r="F20" s="200">
        <v>8443422</v>
      </c>
      <c r="G20" s="200">
        <f>'ETAT DES FACTURATIONS GLOBALES'!H170</f>
        <v>0</v>
      </c>
      <c r="H20" s="200">
        <f>'ETAT DES FACTURATIONS GLOBALES'!N170</f>
        <v>0</v>
      </c>
      <c r="I20" s="225">
        <f t="shared" si="0"/>
        <v>0</v>
      </c>
      <c r="J20" s="226">
        <v>0.10147299509001637</v>
      </c>
      <c r="K20" s="226">
        <v>6.25E-2</v>
      </c>
      <c r="L20" s="226">
        <v>0</v>
      </c>
    </row>
    <row r="21" spans="2:12" s="192" customFormat="1" x14ac:dyDescent="0.25">
      <c r="B21" s="198">
        <v>7</v>
      </c>
      <c r="C21" s="198">
        <v>2025</v>
      </c>
      <c r="D21" s="199" t="s">
        <v>384</v>
      </c>
      <c r="E21" s="200">
        <v>199470000</v>
      </c>
      <c r="F21" s="200">
        <v>3244860</v>
      </c>
      <c r="G21" s="200">
        <v>0</v>
      </c>
      <c r="H21" s="200">
        <v>0</v>
      </c>
      <c r="I21" s="225">
        <f t="shared" si="0"/>
        <v>0</v>
      </c>
      <c r="J21" s="226">
        <v>1.6181229773462784E-3</v>
      </c>
      <c r="K21" s="226">
        <v>0</v>
      </c>
      <c r="L21" s="226">
        <v>0</v>
      </c>
    </row>
    <row r="22" spans="2:12" s="192" customFormat="1" x14ac:dyDescent="0.25">
      <c r="B22" s="198">
        <v>8</v>
      </c>
      <c r="C22" s="198">
        <v>2025</v>
      </c>
      <c r="D22" s="199" t="s">
        <v>385</v>
      </c>
      <c r="E22" s="201">
        <v>384911850</v>
      </c>
      <c r="F22" s="200">
        <v>450625</v>
      </c>
      <c r="G22" s="200">
        <v>0</v>
      </c>
      <c r="H22" s="200">
        <v>0</v>
      </c>
      <c r="I22" s="225">
        <f t="shared" si="0"/>
        <v>0</v>
      </c>
      <c r="J22" s="226">
        <v>2.7397260273972603E-3</v>
      </c>
      <c r="K22" s="226">
        <v>0</v>
      </c>
      <c r="L22" s="226">
        <v>0</v>
      </c>
    </row>
    <row r="23" spans="2:12" s="192" customFormat="1" x14ac:dyDescent="0.25">
      <c r="B23" s="198">
        <v>9</v>
      </c>
      <c r="C23" s="198">
        <v>2025</v>
      </c>
      <c r="D23" s="199" t="s">
        <v>240</v>
      </c>
      <c r="E23" s="201">
        <v>372908000</v>
      </c>
      <c r="F23" s="200">
        <v>0</v>
      </c>
      <c r="G23" s="200">
        <v>0</v>
      </c>
      <c r="H23" s="200">
        <v>0</v>
      </c>
      <c r="I23" s="225">
        <f t="shared" si="0"/>
        <v>0</v>
      </c>
      <c r="J23" s="226">
        <v>0</v>
      </c>
      <c r="K23" s="226">
        <v>0</v>
      </c>
      <c r="L23" s="226">
        <v>0</v>
      </c>
    </row>
    <row r="24" spans="2:12" s="192" customFormat="1" ht="30" x14ac:dyDescent="0.25">
      <c r="B24" s="198">
        <v>10</v>
      </c>
      <c r="C24" s="198">
        <v>2025</v>
      </c>
      <c r="D24" s="199" t="s">
        <v>267</v>
      </c>
      <c r="E24" s="201">
        <v>74884000</v>
      </c>
      <c r="F24" s="200">
        <v>0</v>
      </c>
      <c r="G24" s="200">
        <v>0</v>
      </c>
      <c r="H24" s="200">
        <v>0</v>
      </c>
      <c r="I24" s="225">
        <f t="shared" si="0"/>
        <v>0</v>
      </c>
      <c r="J24" s="226">
        <v>0</v>
      </c>
      <c r="K24" s="226">
        <v>0</v>
      </c>
      <c r="L24" s="226">
        <v>0</v>
      </c>
    </row>
    <row r="25" spans="2:12" s="192" customFormat="1" ht="30" x14ac:dyDescent="0.25">
      <c r="B25" s="198">
        <v>11</v>
      </c>
      <c r="C25" s="198">
        <v>2025</v>
      </c>
      <c r="D25" s="199" t="s">
        <v>268</v>
      </c>
      <c r="E25" s="201">
        <v>323000000</v>
      </c>
      <c r="F25" s="200">
        <v>0</v>
      </c>
      <c r="G25" s="200">
        <v>0</v>
      </c>
      <c r="H25" s="200">
        <v>0</v>
      </c>
      <c r="I25" s="225">
        <f t="shared" si="0"/>
        <v>0</v>
      </c>
      <c r="J25" s="226">
        <v>0</v>
      </c>
      <c r="K25" s="226">
        <v>0</v>
      </c>
      <c r="L25" s="226">
        <v>0</v>
      </c>
    </row>
    <row r="26" spans="2:12" s="192" customFormat="1" x14ac:dyDescent="0.25">
      <c r="B26" s="198">
        <v>12</v>
      </c>
      <c r="C26" s="198">
        <v>2025</v>
      </c>
      <c r="D26" s="199" t="s">
        <v>239</v>
      </c>
      <c r="E26" s="201">
        <v>3375000</v>
      </c>
      <c r="F26" s="200">
        <v>450000</v>
      </c>
      <c r="G26" s="200">
        <v>0</v>
      </c>
      <c r="H26" s="200">
        <v>0</v>
      </c>
      <c r="I26" s="225">
        <f t="shared" si="0"/>
        <v>0</v>
      </c>
      <c r="J26" s="226">
        <v>0</v>
      </c>
      <c r="K26" s="226">
        <v>0</v>
      </c>
      <c r="L26" s="226">
        <v>0</v>
      </c>
    </row>
    <row r="27" spans="2:12" s="192" customFormat="1" x14ac:dyDescent="0.25">
      <c r="B27" s="198">
        <v>13</v>
      </c>
      <c r="C27" s="198">
        <v>2025</v>
      </c>
      <c r="D27" s="199" t="s">
        <v>205</v>
      </c>
      <c r="E27" s="201">
        <v>40000000</v>
      </c>
      <c r="F27" s="200">
        <v>3810000</v>
      </c>
      <c r="G27" s="200">
        <v>0</v>
      </c>
      <c r="H27" s="200">
        <v>0</v>
      </c>
      <c r="I27" s="225">
        <f t="shared" si="0"/>
        <v>0</v>
      </c>
      <c r="J27" s="226">
        <v>0</v>
      </c>
      <c r="K27" s="226">
        <v>0</v>
      </c>
      <c r="L27" s="226">
        <v>0</v>
      </c>
    </row>
    <row r="28" spans="2:12" s="192" customFormat="1" x14ac:dyDescent="0.25">
      <c r="B28" s="198">
        <v>14</v>
      </c>
      <c r="C28" s="198">
        <v>2025</v>
      </c>
      <c r="D28" s="199" t="s">
        <v>357</v>
      </c>
      <c r="E28" s="200">
        <v>945652000</v>
      </c>
      <c r="F28" s="200"/>
      <c r="G28" s="200">
        <v>0</v>
      </c>
      <c r="H28" s="200">
        <v>0</v>
      </c>
      <c r="I28" s="225">
        <f t="shared" si="0"/>
        <v>0</v>
      </c>
      <c r="J28" s="226">
        <v>0</v>
      </c>
      <c r="K28" s="226">
        <v>0</v>
      </c>
      <c r="L28" s="226">
        <v>0</v>
      </c>
    </row>
  </sheetData>
  <mergeCells count="2">
    <mergeCell ref="B8:L8"/>
    <mergeCell ref="B12:L12"/>
  </mergeCells>
  <conditionalFormatting sqref="J15:J28">
    <cfRule type="cellIs" dxfId="0" priority="1" operator="greaterThan">
      <formula>1</formula>
    </cfRule>
  </conditionalFormatting>
  <dataValidations count="1">
    <dataValidation type="list" allowBlank="1" showInputMessage="1" showErrorMessage="1" sqref="C15:C28" xr:uid="{3C7E76B4-699B-4F60-9D56-9179A1DF05A2}">
      <formula1>annee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2BEE7-C0A3-4AFD-B235-A64499A42325}">
  <sheetPr>
    <tabColor theme="9" tint="0.39997558519241921"/>
  </sheetPr>
  <dimension ref="A2:E14"/>
  <sheetViews>
    <sheetView workbookViewId="0">
      <selection activeCell="A12" sqref="A12"/>
    </sheetView>
  </sheetViews>
  <sheetFormatPr baseColWidth="10" defaultRowHeight="15" x14ac:dyDescent="0.25"/>
  <cols>
    <col min="1" max="1" width="27.7109375" bestFit="1" customWidth="1"/>
  </cols>
  <sheetData>
    <row r="2" spans="1:5" x14ac:dyDescent="0.25">
      <c r="A2" t="s">
        <v>319</v>
      </c>
      <c r="C2" t="s">
        <v>317</v>
      </c>
      <c r="E2" t="s">
        <v>1</v>
      </c>
    </row>
    <row r="3" spans="1:5" x14ac:dyDescent="0.25">
      <c r="A3" t="s">
        <v>262</v>
      </c>
      <c r="C3">
        <v>2022</v>
      </c>
      <c r="E3" t="s">
        <v>295</v>
      </c>
    </row>
    <row r="4" spans="1:5" x14ac:dyDescent="0.25">
      <c r="A4" t="s">
        <v>265</v>
      </c>
      <c r="C4">
        <v>2023</v>
      </c>
      <c r="E4" t="s">
        <v>290</v>
      </c>
    </row>
    <row r="5" spans="1:5" x14ac:dyDescent="0.25">
      <c r="A5" t="s">
        <v>373</v>
      </c>
      <c r="C5">
        <v>2024</v>
      </c>
      <c r="E5" t="s">
        <v>296</v>
      </c>
    </row>
    <row r="6" spans="1:5" x14ac:dyDescent="0.25">
      <c r="A6" t="s">
        <v>276</v>
      </c>
      <c r="C6">
        <v>2025</v>
      </c>
      <c r="E6" t="s">
        <v>297</v>
      </c>
    </row>
    <row r="7" spans="1:5" x14ac:dyDescent="0.25">
      <c r="C7">
        <v>2026</v>
      </c>
      <c r="E7" t="s">
        <v>298</v>
      </c>
    </row>
    <row r="8" spans="1:5" x14ac:dyDescent="0.25">
      <c r="E8" t="s">
        <v>299</v>
      </c>
    </row>
    <row r="9" spans="1:5" x14ac:dyDescent="0.25">
      <c r="E9" t="s">
        <v>300</v>
      </c>
    </row>
    <row r="10" spans="1:5" x14ac:dyDescent="0.25">
      <c r="E10" t="s">
        <v>301</v>
      </c>
    </row>
    <row r="11" spans="1:5" x14ac:dyDescent="0.25">
      <c r="E11" t="s">
        <v>302</v>
      </c>
    </row>
    <row r="12" spans="1:5" x14ac:dyDescent="0.25">
      <c r="E12" t="s">
        <v>303</v>
      </c>
    </row>
    <row r="13" spans="1:5" x14ac:dyDescent="0.25">
      <c r="E13" t="s">
        <v>304</v>
      </c>
    </row>
    <row r="14" spans="1:5" x14ac:dyDescent="0.25">
      <c r="E14" t="s">
        <v>305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F3BD4-9D0D-4F73-9A1C-8EF761AB3EFD}">
  <sheetPr>
    <tabColor rgb="FFFFFF00"/>
  </sheetPr>
  <dimension ref="A2:F13"/>
  <sheetViews>
    <sheetView workbookViewId="0">
      <selection activeCell="O19" sqref="O19"/>
    </sheetView>
  </sheetViews>
  <sheetFormatPr baseColWidth="10" defaultColWidth="11.5703125" defaultRowHeight="15" x14ac:dyDescent="0.25"/>
  <cols>
    <col min="1" max="16384" width="11.5703125" style="133"/>
  </cols>
  <sheetData>
    <row r="2" spans="1:6" ht="15.75" thickBot="1" x14ac:dyDescent="0.3"/>
    <row r="3" spans="1:6" ht="19.5" thickBot="1" x14ac:dyDescent="0.35">
      <c r="A3" s="134" t="s">
        <v>306</v>
      </c>
      <c r="B3" s="135"/>
      <c r="C3" s="135"/>
      <c r="D3" s="135"/>
      <c r="E3" s="136"/>
      <c r="F3" s="137"/>
    </row>
    <row r="5" spans="1:6" x14ac:dyDescent="0.25">
      <c r="A5" s="138" t="s">
        <v>307</v>
      </c>
    </row>
    <row r="6" spans="1:6" x14ac:dyDescent="0.25">
      <c r="A6" s="139" t="s">
        <v>308</v>
      </c>
    </row>
    <row r="7" spans="1:6" x14ac:dyDescent="0.25">
      <c r="A7" s="133" t="s">
        <v>309</v>
      </c>
    </row>
    <row r="8" spans="1:6" x14ac:dyDescent="0.25">
      <c r="A8" s="133" t="s">
        <v>310</v>
      </c>
    </row>
    <row r="9" spans="1:6" x14ac:dyDescent="0.25">
      <c r="A9" s="139" t="s">
        <v>311</v>
      </c>
    </row>
    <row r="10" spans="1:6" x14ac:dyDescent="0.25">
      <c r="A10" s="139" t="s">
        <v>312</v>
      </c>
    </row>
    <row r="11" spans="1:6" x14ac:dyDescent="0.25">
      <c r="A11" s="139" t="s">
        <v>313</v>
      </c>
    </row>
    <row r="12" spans="1:6" x14ac:dyDescent="0.25">
      <c r="A12" s="139" t="s">
        <v>314</v>
      </c>
    </row>
    <row r="13" spans="1:6" x14ac:dyDescent="0.25">
      <c r="A13" s="139" t="s">
        <v>315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40B55-E2EB-4713-AA53-6A2DD2AA0C9A}">
  <dimension ref="B2:I47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13" sqref="F13"/>
    </sheetView>
  </sheetViews>
  <sheetFormatPr baseColWidth="10" defaultColWidth="11.42578125" defaultRowHeight="16.5" x14ac:dyDescent="0.25"/>
  <cols>
    <col min="1" max="1" width="11.42578125" style="245"/>
    <col min="2" max="2" width="119" style="247" customWidth="1"/>
    <col min="3" max="3" width="16.28515625" style="247" customWidth="1"/>
    <col min="4" max="4" width="16.85546875" style="247" customWidth="1"/>
    <col min="5" max="5" width="21.42578125" style="247" customWidth="1"/>
    <col min="6" max="7" width="19" style="245" customWidth="1"/>
    <col min="8" max="8" width="18.140625" style="245" customWidth="1"/>
    <col min="9" max="9" width="19.42578125" style="245" customWidth="1"/>
    <col min="10" max="16384" width="11.42578125" style="245"/>
  </cols>
  <sheetData>
    <row r="2" spans="2:9" ht="27" customHeight="1" x14ac:dyDescent="0.25">
      <c r="B2" s="339" t="s">
        <v>316</v>
      </c>
      <c r="C2" s="339"/>
      <c r="D2" s="339"/>
      <c r="E2" s="339"/>
      <c r="F2" s="339"/>
      <c r="G2" s="339"/>
      <c r="H2" s="339"/>
      <c r="I2" s="339"/>
    </row>
    <row r="3" spans="2:9" ht="5.25" customHeight="1" x14ac:dyDescent="0.25">
      <c r="B3" s="246"/>
      <c r="C3" s="246"/>
      <c r="D3" s="246"/>
      <c r="E3" s="246"/>
      <c r="F3" s="246"/>
      <c r="G3" s="246"/>
      <c r="H3" s="246"/>
      <c r="I3" s="246"/>
    </row>
    <row r="4" spans="2:9" x14ac:dyDescent="0.25">
      <c r="H4" s="248" t="s">
        <v>216</v>
      </c>
      <c r="I4" s="249">
        <f ca="1">TODAY()</f>
        <v>45895</v>
      </c>
    </row>
    <row r="5" spans="2:9" ht="3" customHeight="1" x14ac:dyDescent="0.25"/>
    <row r="6" spans="2:9" ht="27.75" customHeight="1" x14ac:dyDescent="0.25">
      <c r="B6" s="250" t="s">
        <v>201</v>
      </c>
      <c r="C6" s="250" t="s">
        <v>390</v>
      </c>
      <c r="D6" s="250" t="s">
        <v>391</v>
      </c>
      <c r="E6" s="250" t="s">
        <v>386</v>
      </c>
      <c r="F6" s="250" t="s">
        <v>202</v>
      </c>
      <c r="G6" s="251" t="s">
        <v>387</v>
      </c>
      <c r="H6" s="250" t="s">
        <v>203</v>
      </c>
      <c r="I6" s="250" t="s">
        <v>204</v>
      </c>
    </row>
    <row r="7" spans="2:9" s="252" customFormat="1" ht="18" customHeight="1" x14ac:dyDescent="0.25">
      <c r="B7" s="253" t="s">
        <v>270</v>
      </c>
      <c r="C7" s="259">
        <v>44676</v>
      </c>
      <c r="D7" s="259">
        <v>44722</v>
      </c>
      <c r="E7" s="254"/>
      <c r="F7" s="254"/>
      <c r="G7" s="254"/>
      <c r="H7" s="254"/>
      <c r="I7" s="254"/>
    </row>
    <row r="8" spans="2:9" s="252" customFormat="1" ht="18" customHeight="1" x14ac:dyDescent="0.25">
      <c r="B8" s="253" t="s">
        <v>271</v>
      </c>
      <c r="C8" s="259">
        <v>44808</v>
      </c>
      <c r="D8" s="259">
        <v>44914</v>
      </c>
      <c r="E8" s="254"/>
      <c r="F8" s="254"/>
      <c r="G8" s="254"/>
      <c r="H8" s="254"/>
      <c r="I8" s="254"/>
    </row>
    <row r="9" spans="2:9" s="252" customFormat="1" ht="18" customHeight="1" x14ac:dyDescent="0.25">
      <c r="B9" s="253" t="s">
        <v>272</v>
      </c>
      <c r="C9" s="259">
        <v>44750</v>
      </c>
      <c r="D9" s="259">
        <v>44842</v>
      </c>
      <c r="E9" s="254"/>
      <c r="F9" s="254"/>
      <c r="G9" s="254"/>
      <c r="H9" s="254"/>
      <c r="I9" s="254"/>
    </row>
    <row r="10" spans="2:9" s="252" customFormat="1" ht="18" customHeight="1" x14ac:dyDescent="0.25">
      <c r="B10" s="253" t="s">
        <v>273</v>
      </c>
      <c r="C10" s="259">
        <v>44902</v>
      </c>
      <c r="D10" s="259">
        <v>45023</v>
      </c>
      <c r="E10" s="254"/>
      <c r="F10" s="254"/>
      <c r="G10" s="254"/>
      <c r="H10" s="254"/>
      <c r="I10" s="254"/>
    </row>
    <row r="11" spans="2:9" s="252" customFormat="1" ht="18" customHeight="1" x14ac:dyDescent="0.25">
      <c r="B11" s="253" t="s">
        <v>274</v>
      </c>
      <c r="C11" s="259">
        <v>44868</v>
      </c>
      <c r="D11" s="259">
        <v>44960</v>
      </c>
      <c r="E11" s="254"/>
      <c r="F11" s="254"/>
      <c r="G11" s="254"/>
      <c r="H11" s="254"/>
      <c r="I11" s="254"/>
    </row>
    <row r="12" spans="2:9" s="252" customFormat="1" ht="18" customHeight="1" x14ac:dyDescent="0.25">
      <c r="B12" s="253" t="s">
        <v>275</v>
      </c>
      <c r="C12" s="259">
        <v>44904</v>
      </c>
      <c r="D12" s="259">
        <v>44994</v>
      </c>
      <c r="E12" s="254"/>
      <c r="F12" s="254"/>
      <c r="G12" s="254"/>
      <c r="H12" s="254"/>
      <c r="I12" s="254"/>
    </row>
    <row r="13" spans="2:9" s="252" customFormat="1" ht="18" customHeight="1" x14ac:dyDescent="0.25">
      <c r="B13" s="253" t="s">
        <v>271</v>
      </c>
      <c r="C13" s="260">
        <v>45178</v>
      </c>
      <c r="D13" s="260">
        <v>45239</v>
      </c>
      <c r="E13" s="254"/>
      <c r="F13" s="254"/>
      <c r="G13" s="254"/>
      <c r="H13" s="254"/>
      <c r="I13" s="254"/>
    </row>
    <row r="14" spans="2:9" s="252" customFormat="1" ht="18" customHeight="1" x14ac:dyDescent="0.25">
      <c r="B14" s="255" t="s">
        <v>388</v>
      </c>
      <c r="C14" s="260"/>
      <c r="D14" s="260"/>
      <c r="E14" s="256"/>
      <c r="F14" s="256"/>
      <c r="G14" s="256"/>
      <c r="H14" s="256"/>
      <c r="I14" s="254"/>
    </row>
    <row r="15" spans="2:9" s="252" customFormat="1" ht="18" customHeight="1" x14ac:dyDescent="0.25">
      <c r="B15" s="255" t="s">
        <v>389</v>
      </c>
      <c r="C15" s="260"/>
      <c r="D15" s="260"/>
      <c r="E15" s="256"/>
      <c r="F15" s="256"/>
      <c r="G15" s="256"/>
      <c r="H15" s="256"/>
      <c r="I15" s="254"/>
    </row>
    <row r="16" spans="2:9" ht="18" customHeight="1" x14ac:dyDescent="0.25">
      <c r="B16" s="253" t="s">
        <v>205</v>
      </c>
      <c r="C16" s="260">
        <v>45096</v>
      </c>
      <c r="D16" s="260">
        <v>45827</v>
      </c>
      <c r="E16" s="254"/>
      <c r="F16" s="254"/>
      <c r="G16" s="254"/>
      <c r="H16" s="254"/>
      <c r="I16" s="254"/>
    </row>
    <row r="17" spans="2:9" ht="18" customHeight="1" x14ac:dyDescent="0.25">
      <c r="B17" s="253" t="s">
        <v>206</v>
      </c>
      <c r="C17" s="260">
        <v>45240</v>
      </c>
      <c r="D17" s="260">
        <v>45808</v>
      </c>
      <c r="E17" s="254"/>
      <c r="F17" s="254"/>
      <c r="G17" s="254"/>
      <c r="H17" s="254"/>
      <c r="I17" s="254"/>
    </row>
    <row r="18" spans="2:9" ht="18" customHeight="1" x14ac:dyDescent="0.25">
      <c r="B18" s="253" t="s">
        <v>207</v>
      </c>
      <c r="C18" s="260">
        <v>45352</v>
      </c>
      <c r="D18" s="260">
        <v>46081</v>
      </c>
      <c r="E18" s="254"/>
      <c r="F18" s="254"/>
      <c r="G18" s="254"/>
      <c r="H18" s="254"/>
      <c r="I18" s="254"/>
    </row>
    <row r="19" spans="2:9" ht="18" customHeight="1" x14ac:dyDescent="0.25">
      <c r="B19" s="253" t="s">
        <v>208</v>
      </c>
      <c r="C19" s="260">
        <v>45352</v>
      </c>
      <c r="D19" s="260">
        <v>46081</v>
      </c>
      <c r="E19" s="254"/>
      <c r="F19" s="254"/>
      <c r="G19" s="254"/>
      <c r="H19" s="254"/>
      <c r="I19" s="254"/>
    </row>
    <row r="20" spans="2:9" ht="18" customHeight="1" x14ac:dyDescent="0.25">
      <c r="B20" s="253" t="s">
        <v>209</v>
      </c>
      <c r="C20" s="260">
        <v>45450</v>
      </c>
      <c r="D20" s="260">
        <v>45633</v>
      </c>
      <c r="E20" s="254"/>
      <c r="F20" s="254"/>
      <c r="G20" s="254"/>
      <c r="H20" s="254"/>
      <c r="I20" s="254"/>
    </row>
    <row r="21" spans="2:9" ht="18" customHeight="1" x14ac:dyDescent="0.25">
      <c r="B21" s="253" t="s">
        <v>210</v>
      </c>
      <c r="C21" s="260">
        <v>45275</v>
      </c>
      <c r="D21" s="260">
        <v>45808</v>
      </c>
      <c r="E21" s="254"/>
      <c r="F21" s="254"/>
      <c r="G21" s="254"/>
      <c r="H21" s="254"/>
      <c r="I21" s="254"/>
    </row>
    <row r="22" spans="2:9" ht="18" customHeight="1" x14ac:dyDescent="0.25">
      <c r="B22" s="253" t="s">
        <v>211</v>
      </c>
      <c r="C22" s="260">
        <v>45447</v>
      </c>
      <c r="D22" s="260">
        <v>45630</v>
      </c>
      <c r="E22" s="254"/>
      <c r="F22" s="254"/>
      <c r="G22" s="254"/>
      <c r="H22" s="254"/>
      <c r="I22" s="254"/>
    </row>
    <row r="23" spans="2:9" ht="18" customHeight="1" x14ac:dyDescent="0.25">
      <c r="B23" s="253" t="s">
        <v>212</v>
      </c>
      <c r="C23" s="260">
        <v>45596</v>
      </c>
      <c r="D23" s="260">
        <v>45808</v>
      </c>
      <c r="E23" s="254"/>
      <c r="F23" s="254"/>
      <c r="G23" s="254"/>
      <c r="H23" s="254"/>
      <c r="I23" s="254"/>
    </row>
    <row r="24" spans="2:9" ht="18" customHeight="1" x14ac:dyDescent="0.25">
      <c r="B24" s="253" t="s">
        <v>213</v>
      </c>
      <c r="C24" s="260">
        <v>45607</v>
      </c>
      <c r="D24" s="260">
        <v>46337</v>
      </c>
      <c r="E24" s="254"/>
      <c r="F24" s="254"/>
      <c r="G24" s="254"/>
      <c r="H24" s="254"/>
      <c r="I24" s="254"/>
    </row>
    <row r="25" spans="2:9" ht="18" customHeight="1" x14ac:dyDescent="0.25">
      <c r="B25" s="253" t="s">
        <v>214</v>
      </c>
      <c r="C25" s="260">
        <v>45623</v>
      </c>
      <c r="D25" s="260">
        <v>46234</v>
      </c>
      <c r="E25" s="254"/>
      <c r="F25" s="254"/>
      <c r="G25" s="254"/>
      <c r="H25" s="254"/>
      <c r="I25" s="254"/>
    </row>
    <row r="26" spans="2:9" ht="18" customHeight="1" x14ac:dyDescent="0.25">
      <c r="B26" s="253" t="s">
        <v>266</v>
      </c>
      <c r="C26" s="260">
        <v>45677</v>
      </c>
      <c r="D26" s="260">
        <v>46295</v>
      </c>
      <c r="E26" s="254"/>
      <c r="F26" s="254"/>
      <c r="G26" s="254"/>
      <c r="H26" s="254"/>
      <c r="I26" s="254"/>
    </row>
    <row r="27" spans="2:9" ht="18" customHeight="1" x14ac:dyDescent="0.25">
      <c r="B27" s="253" t="s">
        <v>360</v>
      </c>
      <c r="C27" s="260">
        <v>45708</v>
      </c>
      <c r="D27" s="260">
        <v>46073</v>
      </c>
      <c r="E27" s="254"/>
      <c r="F27" s="254"/>
      <c r="G27" s="254"/>
      <c r="H27" s="254"/>
      <c r="I27" s="254"/>
    </row>
    <row r="28" spans="2:9" ht="28.5" customHeight="1" x14ac:dyDescent="0.25">
      <c r="B28" s="261" t="s">
        <v>412</v>
      </c>
      <c r="C28" s="271"/>
      <c r="D28" s="271"/>
      <c r="E28" s="254"/>
      <c r="F28" s="254"/>
      <c r="G28" s="254"/>
      <c r="H28" s="254"/>
      <c r="I28" s="254"/>
    </row>
    <row r="29" spans="2:9" ht="18" customHeight="1" x14ac:dyDescent="0.25">
      <c r="B29" s="261" t="s">
        <v>239</v>
      </c>
      <c r="C29" s="271"/>
      <c r="D29" s="271"/>
      <c r="E29" s="254"/>
      <c r="F29" s="254"/>
      <c r="G29" s="254"/>
      <c r="H29" s="254"/>
      <c r="I29" s="254"/>
    </row>
    <row r="30" spans="2:9" ht="19.5" customHeight="1" x14ac:dyDescent="0.25">
      <c r="B30" s="261" t="s">
        <v>238</v>
      </c>
      <c r="C30" s="271"/>
      <c r="D30" s="271"/>
      <c r="E30" s="254"/>
      <c r="F30" s="254"/>
      <c r="G30" s="254"/>
      <c r="H30" s="254"/>
      <c r="I30" s="254"/>
    </row>
    <row r="31" spans="2:9" ht="18" customHeight="1" x14ac:dyDescent="0.25">
      <c r="B31" s="253" t="s">
        <v>428</v>
      </c>
      <c r="C31" s="260">
        <v>45689</v>
      </c>
      <c r="D31" s="260">
        <v>45900</v>
      </c>
      <c r="E31" s="254"/>
      <c r="F31" s="254"/>
      <c r="G31" s="254"/>
      <c r="H31" s="254"/>
      <c r="I31" s="254"/>
    </row>
    <row r="32" spans="2:9" ht="18" customHeight="1" x14ac:dyDescent="0.25">
      <c r="B32" s="253" t="s">
        <v>431</v>
      </c>
      <c r="C32" s="260">
        <v>45810</v>
      </c>
      <c r="D32" s="260">
        <v>46448</v>
      </c>
      <c r="E32" s="254"/>
      <c r="F32" s="254"/>
      <c r="G32" s="254"/>
      <c r="H32" s="254"/>
      <c r="I32" s="254"/>
    </row>
    <row r="33" spans="2:9" ht="18" customHeight="1" x14ac:dyDescent="0.25">
      <c r="B33" s="253" t="s">
        <v>430</v>
      </c>
      <c r="C33" s="260"/>
      <c r="D33" s="260"/>
      <c r="E33" s="254"/>
      <c r="F33" s="254"/>
      <c r="G33" s="254"/>
      <c r="H33" s="254"/>
      <c r="I33" s="254"/>
    </row>
    <row r="34" spans="2:9" ht="25.5" customHeight="1" x14ac:dyDescent="0.25">
      <c r="B34" s="277" t="s">
        <v>432</v>
      </c>
      <c r="C34" s="260">
        <v>45784</v>
      </c>
      <c r="D34" s="260">
        <v>46149</v>
      </c>
      <c r="E34" s="254"/>
      <c r="F34" s="254"/>
      <c r="G34" s="254"/>
      <c r="H34" s="254"/>
      <c r="I34" s="254"/>
    </row>
    <row r="35" spans="2:9" ht="18" customHeight="1" x14ac:dyDescent="0.25">
      <c r="B35" s="253" t="s">
        <v>433</v>
      </c>
      <c r="C35" s="260">
        <v>45819</v>
      </c>
      <c r="D35" s="260"/>
      <c r="E35" s="254"/>
      <c r="F35" s="254"/>
      <c r="G35" s="254"/>
      <c r="H35" s="254"/>
      <c r="I35" s="254"/>
    </row>
    <row r="36" spans="2:9" ht="18" customHeight="1" x14ac:dyDescent="0.25">
      <c r="B36" s="253" t="s">
        <v>434</v>
      </c>
      <c r="C36" s="260">
        <v>45819</v>
      </c>
      <c r="D36" s="260"/>
      <c r="E36" s="254"/>
      <c r="F36" s="254"/>
      <c r="G36" s="254"/>
      <c r="H36" s="254"/>
      <c r="I36" s="254"/>
    </row>
    <row r="37" spans="2:9" ht="18" customHeight="1" x14ac:dyDescent="0.25">
      <c r="B37" s="253" t="s">
        <v>435</v>
      </c>
      <c r="C37" s="260"/>
      <c r="D37" s="260"/>
      <c r="E37" s="254"/>
      <c r="F37" s="254"/>
      <c r="G37" s="254"/>
      <c r="H37" s="254"/>
      <c r="I37" s="254"/>
    </row>
    <row r="38" spans="2:9" ht="18" customHeight="1" x14ac:dyDescent="0.25">
      <c r="B38" s="253" t="s">
        <v>436</v>
      </c>
      <c r="C38" s="260"/>
      <c r="D38" s="260"/>
      <c r="E38" s="254"/>
      <c r="F38" s="254"/>
      <c r="G38" s="254"/>
      <c r="H38" s="254"/>
      <c r="I38" s="254"/>
    </row>
    <row r="39" spans="2:9" ht="18" customHeight="1" x14ac:dyDescent="0.25">
      <c r="B39" s="253" t="s">
        <v>437</v>
      </c>
      <c r="C39" s="260"/>
      <c r="D39" s="260"/>
      <c r="E39" s="254"/>
      <c r="F39" s="254"/>
      <c r="G39" s="254"/>
      <c r="H39" s="254"/>
      <c r="I39" s="254"/>
    </row>
    <row r="40" spans="2:9" ht="18" customHeight="1" x14ac:dyDescent="0.25">
      <c r="B40" s="261" t="s">
        <v>440</v>
      </c>
      <c r="C40" s="260"/>
      <c r="D40" s="260"/>
      <c r="E40" s="254"/>
      <c r="F40" s="254"/>
      <c r="G40" s="254"/>
      <c r="H40" s="254"/>
      <c r="I40" s="254"/>
    </row>
    <row r="41" spans="2:9" ht="18" customHeight="1" x14ac:dyDescent="0.25">
      <c r="B41" s="261"/>
      <c r="C41" s="260"/>
      <c r="D41" s="260"/>
      <c r="E41" s="254"/>
      <c r="F41" s="254"/>
      <c r="G41" s="254"/>
      <c r="H41" s="254"/>
      <c r="I41" s="254"/>
    </row>
    <row r="42" spans="2:9" ht="18" customHeight="1" x14ac:dyDescent="0.25">
      <c r="B42" s="261"/>
      <c r="C42" s="260"/>
      <c r="D42" s="260"/>
      <c r="E42" s="254"/>
      <c r="F42" s="254"/>
      <c r="G42" s="254"/>
      <c r="H42" s="254"/>
      <c r="I42" s="254"/>
    </row>
    <row r="43" spans="2:9" ht="18" customHeight="1" x14ac:dyDescent="0.25">
      <c r="B43" s="261"/>
      <c r="C43" s="260"/>
      <c r="D43" s="260"/>
      <c r="E43" s="254"/>
      <c r="F43" s="254"/>
      <c r="G43" s="254"/>
      <c r="H43" s="254"/>
      <c r="I43" s="254"/>
    </row>
    <row r="44" spans="2:9" ht="18" customHeight="1" x14ac:dyDescent="0.25">
      <c r="B44" s="261"/>
      <c r="C44" s="260"/>
      <c r="D44" s="260"/>
      <c r="E44" s="254"/>
      <c r="F44" s="254"/>
      <c r="G44" s="254"/>
      <c r="H44" s="254"/>
      <c r="I44" s="254"/>
    </row>
    <row r="45" spans="2:9" ht="18" customHeight="1" x14ac:dyDescent="0.25">
      <c r="B45" s="261"/>
      <c r="C45" s="260"/>
      <c r="D45" s="260"/>
      <c r="E45" s="254"/>
      <c r="F45" s="254"/>
      <c r="G45" s="254"/>
      <c r="H45" s="254"/>
      <c r="I45" s="254"/>
    </row>
    <row r="46" spans="2:9" ht="18" customHeight="1" x14ac:dyDescent="0.25">
      <c r="B46" s="253"/>
      <c r="C46" s="260"/>
      <c r="D46" s="260"/>
      <c r="E46" s="254"/>
      <c r="F46" s="254"/>
      <c r="G46" s="254">
        <f t="shared" ref="G31:G46" si="0">E46-F46</f>
        <v>0</v>
      </c>
      <c r="H46" s="254"/>
      <c r="I46" s="254">
        <f t="shared" ref="I28:I46" si="1">+F46-H46</f>
        <v>0</v>
      </c>
    </row>
    <row r="47" spans="2:9" ht="18" customHeight="1" x14ac:dyDescent="0.25">
      <c r="B47" s="257" t="s">
        <v>215</v>
      </c>
      <c r="C47" s="257"/>
      <c r="D47" s="257"/>
      <c r="E47" s="258">
        <f>SUM(E7:E46)</f>
        <v>0</v>
      </c>
      <c r="F47" s="258">
        <f t="shared" ref="F47:I47" si="2">SUM(F7:F46)</f>
        <v>0</v>
      </c>
      <c r="G47" s="258">
        <f>SUM(G7:G46)</f>
        <v>0</v>
      </c>
      <c r="H47" s="258">
        <f t="shared" si="2"/>
        <v>0</v>
      </c>
      <c r="I47" s="258">
        <f t="shared" si="2"/>
        <v>0</v>
      </c>
    </row>
  </sheetData>
  <mergeCells count="1">
    <mergeCell ref="B2:I2"/>
  </mergeCells>
  <phoneticPr fontId="10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C9280-DE32-4F93-91AB-44C18275627E}">
  <dimension ref="A1:V222"/>
  <sheetViews>
    <sheetView showGridLines="0"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K103" sqref="K103"/>
    </sheetView>
  </sheetViews>
  <sheetFormatPr baseColWidth="10" defaultColWidth="11.42578125" defaultRowHeight="15" x14ac:dyDescent="0.3"/>
  <cols>
    <col min="1" max="1" width="2.7109375" style="2" customWidth="1"/>
    <col min="2" max="2" width="25.85546875" style="2" customWidth="1"/>
    <col min="3" max="3" width="10.5703125" style="2" customWidth="1"/>
    <col min="4" max="4" width="19.85546875" style="2" bestFit="1" customWidth="1"/>
    <col min="5" max="7" width="13.85546875" style="3" customWidth="1"/>
    <col min="8" max="8" width="15.5703125" style="2" customWidth="1"/>
    <col min="9" max="10" width="13.85546875" style="2" customWidth="1"/>
    <col min="11" max="12" width="15.5703125" style="2" customWidth="1"/>
    <col min="13" max="15" width="16.140625" style="2" customWidth="1"/>
    <col min="16" max="19" width="13.85546875" style="2" customWidth="1"/>
    <col min="20" max="20" width="13.5703125" style="2" customWidth="1"/>
    <col min="21" max="21" width="11.42578125" style="2"/>
    <col min="22" max="22" width="12.5703125" style="2" bestFit="1" customWidth="1"/>
    <col min="23" max="16384" width="11.42578125" style="2"/>
  </cols>
  <sheetData>
    <row r="1" spans="1:20" ht="15.75" thickBot="1" x14ac:dyDescent="0.35"/>
    <row r="2" spans="1:20" s="19" customFormat="1" ht="55.5" customHeight="1" x14ac:dyDescent="0.25">
      <c r="A2" s="357"/>
      <c r="B2" s="358"/>
      <c r="C2" s="358"/>
      <c r="D2" s="359"/>
      <c r="E2" s="363" t="s">
        <v>93</v>
      </c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4" t="s">
        <v>96</v>
      </c>
      <c r="R2" s="365"/>
      <c r="S2" s="366"/>
      <c r="T2" s="367"/>
    </row>
    <row r="3" spans="1:20" s="19" customFormat="1" ht="43.5" customHeight="1" thickBot="1" x14ac:dyDescent="0.3">
      <c r="A3" s="360"/>
      <c r="B3" s="361"/>
      <c r="C3" s="361"/>
      <c r="D3" s="362"/>
      <c r="E3" s="363" t="s">
        <v>95</v>
      </c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8"/>
      <c r="R3" s="369"/>
      <c r="S3" s="369"/>
      <c r="T3" s="370"/>
    </row>
    <row r="4" spans="1:20" s="19" customFormat="1" ht="25.5" customHeight="1" x14ac:dyDescent="0.25">
      <c r="A4" s="20" t="s">
        <v>94</v>
      </c>
      <c r="B4" s="21"/>
      <c r="C4" s="371">
        <f ca="1">TODAY()</f>
        <v>45895</v>
      </c>
      <c r="D4" s="371"/>
      <c r="M4" s="372"/>
      <c r="N4" s="372"/>
      <c r="O4" s="372"/>
      <c r="P4" s="372"/>
      <c r="Q4" s="372"/>
      <c r="R4" s="372"/>
      <c r="S4" s="372"/>
      <c r="T4" s="372"/>
    </row>
    <row r="5" spans="1:20" ht="6" customHeight="1" x14ac:dyDescent="0.3"/>
    <row r="6" spans="1:20" s="7" customFormat="1" ht="43.5" customHeight="1" x14ac:dyDescent="0.3">
      <c r="B6" s="29" t="s">
        <v>10</v>
      </c>
      <c r="C6" s="29" t="s">
        <v>16</v>
      </c>
      <c r="D6" s="29" t="s">
        <v>1</v>
      </c>
      <c r="E6" s="30" t="s">
        <v>23</v>
      </c>
      <c r="F6" s="30" t="s">
        <v>24</v>
      </c>
      <c r="G6" s="30" t="s">
        <v>73</v>
      </c>
      <c r="H6" s="77" t="s">
        <v>19</v>
      </c>
      <c r="I6" s="29" t="s">
        <v>20</v>
      </c>
      <c r="J6" s="29" t="s">
        <v>21</v>
      </c>
      <c r="K6" s="31" t="s">
        <v>44</v>
      </c>
      <c r="L6" s="29" t="s">
        <v>22</v>
      </c>
      <c r="M6" s="32" t="s">
        <v>80</v>
      </c>
      <c r="N6" s="77" t="s">
        <v>227</v>
      </c>
      <c r="O6" s="31" t="s">
        <v>81</v>
      </c>
      <c r="P6" s="29" t="s">
        <v>79</v>
      </c>
      <c r="Q6" s="31" t="s">
        <v>83</v>
      </c>
      <c r="R6" s="272" t="s">
        <v>228</v>
      </c>
      <c r="S6" s="31" t="s">
        <v>82</v>
      </c>
      <c r="T6" s="29" t="s">
        <v>43</v>
      </c>
    </row>
    <row r="7" spans="1:20" ht="15" customHeight="1" x14ac:dyDescent="0.3">
      <c r="B7" s="355" t="s">
        <v>63</v>
      </c>
      <c r="C7" s="4" t="s">
        <v>57</v>
      </c>
      <c r="D7" s="4" t="s">
        <v>37</v>
      </c>
      <c r="E7" s="5">
        <v>44879</v>
      </c>
      <c r="F7" s="5">
        <v>44879</v>
      </c>
      <c r="G7" s="5">
        <v>44761</v>
      </c>
      <c r="H7" s="6">
        <v>7500000</v>
      </c>
      <c r="I7" s="6">
        <f>H7*0.18</f>
        <v>1350000</v>
      </c>
      <c r="J7" s="6">
        <f>+-H7*3%</f>
        <v>-225000</v>
      </c>
      <c r="K7" s="6">
        <f>+H7+J7</f>
        <v>7275000</v>
      </c>
      <c r="L7" s="6">
        <f>H7+I7+J7</f>
        <v>8625000</v>
      </c>
      <c r="M7" s="6">
        <v>8625000</v>
      </c>
      <c r="N7" s="6">
        <f>+M7-I7-J7</f>
        <v>7500000</v>
      </c>
      <c r="O7" s="6">
        <f>+M7-I7</f>
        <v>7275000</v>
      </c>
      <c r="P7" s="6">
        <f>+L7-M7</f>
        <v>0</v>
      </c>
      <c r="Q7" s="16">
        <f>P7</f>
        <v>0</v>
      </c>
      <c r="R7" s="268">
        <f>H7-N7</f>
        <v>0</v>
      </c>
      <c r="S7" s="16">
        <f t="shared" ref="S7:S13" si="0">Q7</f>
        <v>0</v>
      </c>
      <c r="T7" s="33">
        <f>+F7+30</f>
        <v>44909</v>
      </c>
    </row>
    <row r="8" spans="1:20" x14ac:dyDescent="0.3">
      <c r="B8" s="355"/>
      <c r="C8" s="4" t="s">
        <v>55</v>
      </c>
      <c r="D8" s="11">
        <v>44805</v>
      </c>
      <c r="E8" s="5">
        <v>44806</v>
      </c>
      <c r="F8" s="5">
        <v>44806</v>
      </c>
      <c r="G8" s="5">
        <v>44895</v>
      </c>
      <c r="H8" s="6">
        <v>8750000</v>
      </c>
      <c r="I8" s="6">
        <f>H8*0.18</f>
        <v>1575000</v>
      </c>
      <c r="J8" s="6">
        <f>+-H8*3%</f>
        <v>-262500</v>
      </c>
      <c r="K8" s="6">
        <f>+H8+J8</f>
        <v>8487500</v>
      </c>
      <c r="L8" s="6">
        <f>H8+I8+J8</f>
        <v>10062500</v>
      </c>
      <c r="M8" s="6">
        <v>10062500</v>
      </c>
      <c r="N8" s="6">
        <f t="shared" ref="N8:N41" si="1">+M8-I8-J8</f>
        <v>8750000</v>
      </c>
      <c r="O8" s="6">
        <f t="shared" ref="O8:O19" si="2">+M8-I8</f>
        <v>8487500</v>
      </c>
      <c r="P8" s="6">
        <f>+L8-M8</f>
        <v>0</v>
      </c>
      <c r="Q8" s="16">
        <f t="shared" ref="Q8:Q13" si="3">P8</f>
        <v>0</v>
      </c>
      <c r="R8" s="268">
        <f t="shared" ref="R8:R88" si="4">H8-N8</f>
        <v>0</v>
      </c>
      <c r="S8" s="16">
        <f t="shared" si="0"/>
        <v>0</v>
      </c>
      <c r="T8" s="33">
        <f>+F8+30</f>
        <v>44836</v>
      </c>
    </row>
    <row r="9" spans="1:20" x14ac:dyDescent="0.3">
      <c r="B9" s="355"/>
      <c r="C9" s="4" t="s">
        <v>56</v>
      </c>
      <c r="D9" s="11">
        <v>44866</v>
      </c>
      <c r="E9" s="5">
        <v>44879</v>
      </c>
      <c r="F9" s="5">
        <v>44879</v>
      </c>
      <c r="G9" s="5">
        <v>44908</v>
      </c>
      <c r="H9" s="6">
        <v>8750000</v>
      </c>
      <c r="I9" s="6">
        <f>H9*0.18</f>
        <v>1575000</v>
      </c>
      <c r="J9" s="6">
        <f>+-H9*3%</f>
        <v>-262500</v>
      </c>
      <c r="K9" s="6">
        <f>+H9+J9</f>
        <v>8487500</v>
      </c>
      <c r="L9" s="6">
        <f>H9+I9+J9</f>
        <v>10062500</v>
      </c>
      <c r="M9" s="6">
        <v>10062500</v>
      </c>
      <c r="N9" s="6">
        <f t="shared" si="1"/>
        <v>8750000</v>
      </c>
      <c r="O9" s="6">
        <f t="shared" si="2"/>
        <v>8487500</v>
      </c>
      <c r="P9" s="6">
        <f>+L9-M9</f>
        <v>0</v>
      </c>
      <c r="Q9" s="16">
        <f t="shared" si="3"/>
        <v>0</v>
      </c>
      <c r="R9" s="268">
        <f t="shared" si="4"/>
        <v>0</v>
      </c>
      <c r="S9" s="16">
        <f t="shared" si="0"/>
        <v>0</v>
      </c>
      <c r="T9" s="33">
        <f>+F9+30</f>
        <v>44909</v>
      </c>
    </row>
    <row r="10" spans="1:20" x14ac:dyDescent="0.3">
      <c r="B10" s="355"/>
      <c r="C10" s="4" t="s">
        <v>71</v>
      </c>
      <c r="D10" s="11">
        <v>45017</v>
      </c>
      <c r="E10" s="5">
        <v>45036</v>
      </c>
      <c r="F10" s="5">
        <v>45036</v>
      </c>
      <c r="G10" s="5">
        <v>45072</v>
      </c>
      <c r="H10" s="6">
        <v>8500000</v>
      </c>
      <c r="I10" s="6">
        <f>H10*0.18</f>
        <v>1530000</v>
      </c>
      <c r="J10" s="6">
        <f>+-H10*3%</f>
        <v>-255000</v>
      </c>
      <c r="K10" s="6">
        <f>+H10+J10</f>
        <v>8245000</v>
      </c>
      <c r="L10" s="6">
        <f>H10+I10+J10</f>
        <v>9775000</v>
      </c>
      <c r="M10" s="6">
        <v>9775000</v>
      </c>
      <c r="N10" s="6">
        <f t="shared" si="1"/>
        <v>8500000</v>
      </c>
      <c r="O10" s="6">
        <f t="shared" si="2"/>
        <v>8245000</v>
      </c>
      <c r="P10" s="6">
        <f>+L10-M10</f>
        <v>0</v>
      </c>
      <c r="Q10" s="16">
        <f t="shared" si="3"/>
        <v>0</v>
      </c>
      <c r="R10" s="268">
        <f t="shared" si="4"/>
        <v>0</v>
      </c>
      <c r="S10" s="16">
        <f t="shared" si="0"/>
        <v>0</v>
      </c>
      <c r="T10" s="33">
        <f>+F10+30</f>
        <v>45066</v>
      </c>
    </row>
    <row r="11" spans="1:20" x14ac:dyDescent="0.3">
      <c r="B11" s="355"/>
      <c r="C11" s="356" t="s">
        <v>60</v>
      </c>
      <c r="D11" s="356"/>
      <c r="E11" s="356"/>
      <c r="F11" s="356"/>
      <c r="G11" s="356"/>
      <c r="H11" s="9">
        <f>+SUM(H7:H10)</f>
        <v>33500000</v>
      </c>
      <c r="I11" s="9">
        <f t="shared" ref="I11:S11" si="5">+SUM(I7:I10)</f>
        <v>6030000</v>
      </c>
      <c r="J11" s="9">
        <f t="shared" si="5"/>
        <v>-1005000</v>
      </c>
      <c r="K11" s="9">
        <f t="shared" si="5"/>
        <v>32495000</v>
      </c>
      <c r="L11" s="9">
        <f t="shared" si="5"/>
        <v>38525000</v>
      </c>
      <c r="M11" s="9">
        <f>+SUM(M7:M10)</f>
        <v>38525000</v>
      </c>
      <c r="N11" s="9">
        <f>+SUM(N7:N10)</f>
        <v>33500000</v>
      </c>
      <c r="O11" s="9">
        <f>+SUM(O7:O10)</f>
        <v>32495000</v>
      </c>
      <c r="P11" s="9">
        <f t="shared" si="5"/>
        <v>0</v>
      </c>
      <c r="Q11" s="9">
        <f t="shared" si="5"/>
        <v>0</v>
      </c>
      <c r="R11" s="273">
        <f t="shared" si="5"/>
        <v>0</v>
      </c>
      <c r="S11" s="9">
        <f t="shared" si="5"/>
        <v>0</v>
      </c>
      <c r="T11" s="26"/>
    </row>
    <row r="12" spans="1:20" x14ac:dyDescent="0.3">
      <c r="B12" s="355" t="s">
        <v>78</v>
      </c>
      <c r="C12" s="4" t="s">
        <v>58</v>
      </c>
      <c r="D12" s="4" t="s">
        <v>37</v>
      </c>
      <c r="E12" s="5">
        <v>44888</v>
      </c>
      <c r="F12" s="5">
        <v>44946</v>
      </c>
      <c r="G12" s="5">
        <v>44888</v>
      </c>
      <c r="H12" s="6">
        <v>12000000</v>
      </c>
      <c r="I12" s="6">
        <v>0</v>
      </c>
      <c r="J12" s="6">
        <v>0</v>
      </c>
      <c r="K12" s="6">
        <f>+H12+J12</f>
        <v>12000000</v>
      </c>
      <c r="L12" s="6">
        <f>H12+I12+J12</f>
        <v>12000000</v>
      </c>
      <c r="M12" s="6">
        <v>12000000</v>
      </c>
      <c r="N12" s="6">
        <f t="shared" si="1"/>
        <v>12000000</v>
      </c>
      <c r="O12" s="6">
        <f t="shared" si="2"/>
        <v>12000000</v>
      </c>
      <c r="P12" s="6">
        <f>+L12-M12</f>
        <v>0</v>
      </c>
      <c r="Q12" s="16">
        <f t="shared" si="3"/>
        <v>0</v>
      </c>
      <c r="R12" s="268">
        <f t="shared" si="4"/>
        <v>0</v>
      </c>
      <c r="S12" s="16">
        <f t="shared" si="0"/>
        <v>0</v>
      </c>
      <c r="T12" s="33">
        <f>+F12+30</f>
        <v>44976</v>
      </c>
    </row>
    <row r="13" spans="1:20" x14ac:dyDescent="0.3">
      <c r="B13" s="355"/>
      <c r="C13" s="4" t="s">
        <v>69</v>
      </c>
      <c r="D13" s="11">
        <v>44986</v>
      </c>
      <c r="E13" s="5">
        <v>44993</v>
      </c>
      <c r="F13" s="5">
        <v>44993</v>
      </c>
      <c r="G13" s="5">
        <v>45015</v>
      </c>
      <c r="H13" s="6">
        <v>28000000</v>
      </c>
      <c r="I13" s="6">
        <v>0</v>
      </c>
      <c r="J13" s="6">
        <v>0</v>
      </c>
      <c r="K13" s="6">
        <f>+H13+J13</f>
        <v>28000000</v>
      </c>
      <c r="L13" s="6">
        <f>H13+I13+J13</f>
        <v>28000000</v>
      </c>
      <c r="M13" s="10">
        <v>28000000</v>
      </c>
      <c r="N13" s="6">
        <f t="shared" si="1"/>
        <v>28000000</v>
      </c>
      <c r="O13" s="6">
        <f t="shared" si="2"/>
        <v>28000000</v>
      </c>
      <c r="P13" s="6">
        <f>+L13-M13</f>
        <v>0</v>
      </c>
      <c r="Q13" s="16">
        <f t="shared" si="3"/>
        <v>0</v>
      </c>
      <c r="R13" s="268">
        <f t="shared" si="4"/>
        <v>0</v>
      </c>
      <c r="S13" s="16">
        <f t="shared" si="0"/>
        <v>0</v>
      </c>
      <c r="T13" s="33">
        <f>+F13+30</f>
        <v>45023</v>
      </c>
    </row>
    <row r="14" spans="1:20" x14ac:dyDescent="0.3">
      <c r="B14" s="355"/>
      <c r="C14" s="356" t="s">
        <v>59</v>
      </c>
      <c r="D14" s="356"/>
      <c r="E14" s="356"/>
      <c r="F14" s="356"/>
      <c r="G14" s="356"/>
      <c r="H14" s="9">
        <f>+SUM(H12:H13)</f>
        <v>40000000</v>
      </c>
      <c r="I14" s="9">
        <f t="shared" ref="I14:S14" si="6">+SUM(I12:I13)</f>
        <v>0</v>
      </c>
      <c r="J14" s="9">
        <f t="shared" si="6"/>
        <v>0</v>
      </c>
      <c r="K14" s="9">
        <f t="shared" si="6"/>
        <v>40000000</v>
      </c>
      <c r="L14" s="9">
        <f t="shared" si="6"/>
        <v>40000000</v>
      </c>
      <c r="M14" s="9">
        <f>+SUM(M12:M13)</f>
        <v>40000000</v>
      </c>
      <c r="N14" s="9">
        <f>+SUM(N12:N13)</f>
        <v>40000000</v>
      </c>
      <c r="O14" s="9">
        <f>+SUM(O12:O13)</f>
        <v>40000000</v>
      </c>
      <c r="P14" s="9">
        <f t="shared" si="6"/>
        <v>0</v>
      </c>
      <c r="Q14" s="9">
        <f t="shared" si="6"/>
        <v>0</v>
      </c>
      <c r="R14" s="273">
        <f t="shared" si="6"/>
        <v>0</v>
      </c>
      <c r="S14" s="9">
        <f t="shared" si="6"/>
        <v>0</v>
      </c>
      <c r="T14" s="33"/>
    </row>
    <row r="15" spans="1:20" x14ac:dyDescent="0.3">
      <c r="B15" s="355" t="s">
        <v>64</v>
      </c>
      <c r="C15" s="4" t="s">
        <v>61</v>
      </c>
      <c r="D15" s="4" t="s">
        <v>37</v>
      </c>
      <c r="E15" s="5">
        <v>44900</v>
      </c>
      <c r="F15" s="5">
        <v>44901</v>
      </c>
      <c r="G15" s="5">
        <v>44910</v>
      </c>
      <c r="H15" s="6">
        <v>6210000</v>
      </c>
      <c r="I15" s="6">
        <f>H15*0.18</f>
        <v>1117800</v>
      </c>
      <c r="J15" s="6">
        <f>+-H15*3%</f>
        <v>-186300</v>
      </c>
      <c r="K15" s="6">
        <f>+H15+J15</f>
        <v>6023700</v>
      </c>
      <c r="L15" s="6">
        <f>H15+I15+J15</f>
        <v>7141500</v>
      </c>
      <c r="M15" s="6">
        <v>7141500</v>
      </c>
      <c r="N15" s="6">
        <f t="shared" si="1"/>
        <v>6210000</v>
      </c>
      <c r="O15" s="6">
        <f t="shared" si="2"/>
        <v>6023700</v>
      </c>
      <c r="P15" s="6">
        <f>+L15-M15</f>
        <v>0</v>
      </c>
      <c r="Q15" s="16">
        <f>P15</f>
        <v>0</v>
      </c>
      <c r="R15" s="268">
        <f t="shared" si="4"/>
        <v>0</v>
      </c>
      <c r="S15" s="16">
        <f>Q15</f>
        <v>0</v>
      </c>
      <c r="T15" s="33">
        <f>+F15+30</f>
        <v>44931</v>
      </c>
    </row>
    <row r="16" spans="1:20" x14ac:dyDescent="0.3">
      <c r="B16" s="355"/>
      <c r="C16" s="4" t="s">
        <v>70</v>
      </c>
      <c r="D16" s="11">
        <v>44986</v>
      </c>
      <c r="E16" s="5">
        <v>45021</v>
      </c>
      <c r="F16" s="5">
        <v>45021</v>
      </c>
      <c r="G16" s="5">
        <v>45036</v>
      </c>
      <c r="H16" s="6">
        <v>7245000</v>
      </c>
      <c r="I16" s="6">
        <f>H16*0.18</f>
        <v>1304100</v>
      </c>
      <c r="J16" s="6">
        <f>+-H16*3%</f>
        <v>-217350</v>
      </c>
      <c r="K16" s="6">
        <f>+H16+J16</f>
        <v>7027650</v>
      </c>
      <c r="L16" s="6">
        <f>H16+I16+J16</f>
        <v>8331750</v>
      </c>
      <c r="M16" s="6">
        <v>8331750</v>
      </c>
      <c r="N16" s="6">
        <f t="shared" si="1"/>
        <v>7245000</v>
      </c>
      <c r="O16" s="6">
        <f t="shared" si="2"/>
        <v>7027650</v>
      </c>
      <c r="P16" s="6">
        <f>+L16-M16</f>
        <v>0</v>
      </c>
      <c r="Q16" s="16">
        <f t="shared" ref="Q16:Q19" si="7">P16</f>
        <v>0</v>
      </c>
      <c r="R16" s="268">
        <f t="shared" si="4"/>
        <v>0</v>
      </c>
      <c r="S16" s="16">
        <f>Q16</f>
        <v>0</v>
      </c>
      <c r="T16" s="33">
        <f>+F16+30</f>
        <v>45051</v>
      </c>
    </row>
    <row r="17" spans="2:20" x14ac:dyDescent="0.3">
      <c r="B17" s="355"/>
      <c r="C17" s="4" t="s">
        <v>72</v>
      </c>
      <c r="D17" s="11">
        <v>45017</v>
      </c>
      <c r="E17" s="5">
        <v>45036</v>
      </c>
      <c r="F17" s="5">
        <v>45036</v>
      </c>
      <c r="G17" s="5">
        <v>45054</v>
      </c>
      <c r="H17" s="6">
        <v>7245000</v>
      </c>
      <c r="I17" s="6">
        <f>H17*0.18</f>
        <v>1304100</v>
      </c>
      <c r="J17" s="6">
        <f>+-H17*3%</f>
        <v>-217350</v>
      </c>
      <c r="K17" s="6">
        <f>+H17+J17</f>
        <v>7027650</v>
      </c>
      <c r="L17" s="6">
        <f>H17+I17+J17</f>
        <v>8331750</v>
      </c>
      <c r="M17" s="6">
        <v>8331750</v>
      </c>
      <c r="N17" s="6">
        <f t="shared" si="1"/>
        <v>7245000</v>
      </c>
      <c r="O17" s="6">
        <f t="shared" si="2"/>
        <v>7027650</v>
      </c>
      <c r="P17" s="6">
        <f>+L17-M17</f>
        <v>0</v>
      </c>
      <c r="Q17" s="16">
        <f t="shared" si="7"/>
        <v>0</v>
      </c>
      <c r="R17" s="268">
        <f t="shared" si="4"/>
        <v>0</v>
      </c>
      <c r="S17" s="16">
        <f>Q17</f>
        <v>0</v>
      </c>
      <c r="T17" s="33">
        <f>+F17+30</f>
        <v>45066</v>
      </c>
    </row>
    <row r="18" spans="2:20" x14ac:dyDescent="0.3">
      <c r="B18" s="355"/>
      <c r="C18" s="356" t="s">
        <v>67</v>
      </c>
      <c r="D18" s="356"/>
      <c r="E18" s="356"/>
      <c r="F18" s="356"/>
      <c r="G18" s="356"/>
      <c r="H18" s="9">
        <f>+SUM(H15:H17)</f>
        <v>20700000</v>
      </c>
      <c r="I18" s="9">
        <f t="shared" ref="I18:P18" si="8">+SUM(I15:I17)</f>
        <v>3726000</v>
      </c>
      <c r="J18" s="9">
        <f t="shared" si="8"/>
        <v>-621000</v>
      </c>
      <c r="K18" s="9">
        <f t="shared" si="8"/>
        <v>20079000</v>
      </c>
      <c r="L18" s="9">
        <f t="shared" si="8"/>
        <v>23805000</v>
      </c>
      <c r="M18" s="9">
        <f t="shared" si="8"/>
        <v>23805000</v>
      </c>
      <c r="N18" s="9">
        <f t="shared" si="8"/>
        <v>20700000</v>
      </c>
      <c r="O18" s="9">
        <f t="shared" si="8"/>
        <v>20079000</v>
      </c>
      <c r="P18" s="9">
        <f t="shared" si="8"/>
        <v>0</v>
      </c>
      <c r="Q18" s="16">
        <f t="shared" si="7"/>
        <v>0</v>
      </c>
      <c r="R18" s="268">
        <f t="shared" si="4"/>
        <v>0</v>
      </c>
      <c r="S18" s="16">
        <f>Q18</f>
        <v>0</v>
      </c>
      <c r="T18" s="33"/>
    </row>
    <row r="19" spans="2:20" x14ac:dyDescent="0.3">
      <c r="B19" s="355" t="s">
        <v>65</v>
      </c>
      <c r="C19" s="4" t="s">
        <v>66</v>
      </c>
      <c r="D19" s="11">
        <v>44896</v>
      </c>
      <c r="E19" s="5">
        <v>44914</v>
      </c>
      <c r="F19" s="5">
        <v>44917</v>
      </c>
      <c r="G19" s="5">
        <v>44946</v>
      </c>
      <c r="H19" s="6">
        <v>3300000</v>
      </c>
      <c r="I19" s="6">
        <f>H19*0.18</f>
        <v>594000</v>
      </c>
      <c r="J19" s="6">
        <f>+-H19*3%</f>
        <v>-99000</v>
      </c>
      <c r="K19" s="6">
        <f>+H19+J19</f>
        <v>3201000</v>
      </c>
      <c r="L19" s="6">
        <f>H19+I19+J19</f>
        <v>3795000</v>
      </c>
      <c r="M19" s="6">
        <v>3795000</v>
      </c>
      <c r="N19" s="6">
        <f t="shared" si="1"/>
        <v>3300000</v>
      </c>
      <c r="O19" s="6">
        <f t="shared" si="2"/>
        <v>3201000</v>
      </c>
      <c r="P19" s="6">
        <f>+L19-M19</f>
        <v>0</v>
      </c>
      <c r="Q19" s="16">
        <f t="shared" si="7"/>
        <v>0</v>
      </c>
      <c r="R19" s="268">
        <f t="shared" si="4"/>
        <v>0</v>
      </c>
      <c r="S19" s="16">
        <f>Q19</f>
        <v>0</v>
      </c>
      <c r="T19" s="33">
        <f>+F19+30</f>
        <v>44947</v>
      </c>
    </row>
    <row r="20" spans="2:20" x14ac:dyDescent="0.3">
      <c r="B20" s="355"/>
      <c r="C20" s="356" t="s">
        <v>74</v>
      </c>
      <c r="D20" s="356"/>
      <c r="E20" s="356"/>
      <c r="F20" s="356"/>
      <c r="G20" s="356"/>
      <c r="H20" s="9">
        <f t="shared" ref="H20:S20" si="9">+SUM(H19:H19)</f>
        <v>3300000</v>
      </c>
      <c r="I20" s="9">
        <f t="shared" si="9"/>
        <v>594000</v>
      </c>
      <c r="J20" s="9">
        <f t="shared" si="9"/>
        <v>-99000</v>
      </c>
      <c r="K20" s="9">
        <f t="shared" si="9"/>
        <v>3201000</v>
      </c>
      <c r="L20" s="9">
        <f t="shared" si="9"/>
        <v>3795000</v>
      </c>
      <c r="M20" s="9">
        <f t="shared" si="9"/>
        <v>3795000</v>
      </c>
      <c r="N20" s="9">
        <f t="shared" si="9"/>
        <v>3300000</v>
      </c>
      <c r="O20" s="9">
        <f t="shared" si="9"/>
        <v>3201000</v>
      </c>
      <c r="P20" s="9">
        <f t="shared" si="9"/>
        <v>0</v>
      </c>
      <c r="Q20" s="9">
        <f t="shared" si="9"/>
        <v>0</v>
      </c>
      <c r="R20" s="273">
        <f t="shared" si="9"/>
        <v>0</v>
      </c>
      <c r="S20" s="9">
        <f t="shared" si="9"/>
        <v>0</v>
      </c>
      <c r="T20" s="33"/>
    </row>
    <row r="21" spans="2:20" ht="15" customHeight="1" x14ac:dyDescent="0.3">
      <c r="B21" s="355" t="s">
        <v>34</v>
      </c>
      <c r="C21" s="4" t="s">
        <v>11</v>
      </c>
      <c r="D21" s="4" t="s">
        <v>37</v>
      </c>
      <c r="E21" s="5">
        <v>45091</v>
      </c>
      <c r="F21" s="5">
        <v>45097</v>
      </c>
      <c r="G21" s="5">
        <v>45113</v>
      </c>
      <c r="H21" s="6">
        <v>265546395</v>
      </c>
      <c r="I21" s="6">
        <v>47798351.100000001</v>
      </c>
      <c r="J21" s="6"/>
      <c r="K21" s="6">
        <f t="shared" ref="K21:K44" si="10">+H21+J21</f>
        <v>265546395</v>
      </c>
      <c r="L21" s="6">
        <v>313344746.10000002</v>
      </c>
      <c r="M21" s="6">
        <v>313344746</v>
      </c>
      <c r="N21" s="6">
        <f t="shared" si="1"/>
        <v>265546394.90000001</v>
      </c>
      <c r="O21" s="6">
        <f t="shared" ref="O21:O41" si="11">+M21-I21</f>
        <v>265546394.90000001</v>
      </c>
      <c r="P21" s="6">
        <f t="shared" ref="P21:P41" si="12">+L21-M21</f>
        <v>0.10000002384185791</v>
      </c>
      <c r="Q21" s="16">
        <f>P21</f>
        <v>0.10000002384185791</v>
      </c>
      <c r="R21" s="268">
        <f t="shared" si="4"/>
        <v>9.9999994039535522E-2</v>
      </c>
      <c r="S21" s="16">
        <f>+L21-M21</f>
        <v>0.10000002384185791</v>
      </c>
      <c r="T21" s="33">
        <f t="shared" ref="T21:T44" si="13">+F21+30</f>
        <v>45127</v>
      </c>
    </row>
    <row r="22" spans="2:20" x14ac:dyDescent="0.3">
      <c r="B22" s="355"/>
      <c r="C22" s="4" t="s">
        <v>12</v>
      </c>
      <c r="D22" s="11">
        <v>45108</v>
      </c>
      <c r="E22" s="5">
        <v>45210</v>
      </c>
      <c r="F22" s="5">
        <v>45210</v>
      </c>
      <c r="G22" s="5">
        <v>45212</v>
      </c>
      <c r="H22" s="6">
        <v>42044846</v>
      </c>
      <c r="I22" s="6">
        <f t="shared" ref="I22:I44" si="14">H22*0.18</f>
        <v>7568072.2799999993</v>
      </c>
      <c r="J22" s="6">
        <v>-1659665</v>
      </c>
      <c r="K22" s="6">
        <f t="shared" si="10"/>
        <v>40385181</v>
      </c>
      <c r="L22" s="6">
        <f t="shared" ref="L22:L44" si="15">H22+I22+J22</f>
        <v>47953253.280000001</v>
      </c>
      <c r="M22" s="6">
        <v>47953253</v>
      </c>
      <c r="N22" s="6">
        <f t="shared" si="1"/>
        <v>42044845.719999999</v>
      </c>
      <c r="O22" s="6">
        <f t="shared" si="11"/>
        <v>40385180.719999999</v>
      </c>
      <c r="P22" s="6">
        <f t="shared" si="12"/>
        <v>0.2800000011920929</v>
      </c>
      <c r="Q22" s="16">
        <f t="shared" ref="Q22:Q45" si="16">P22</f>
        <v>0.2800000011920929</v>
      </c>
      <c r="R22" s="268">
        <f t="shared" si="4"/>
        <v>0.2800000011920929</v>
      </c>
      <c r="S22" s="16">
        <f t="shared" ref="S22:S31" si="17">Q22</f>
        <v>0.2800000011920929</v>
      </c>
      <c r="T22" s="33">
        <f t="shared" si="13"/>
        <v>45240</v>
      </c>
    </row>
    <row r="23" spans="2:20" x14ac:dyDescent="0.3">
      <c r="B23" s="355"/>
      <c r="C23" s="4" t="s">
        <v>13</v>
      </c>
      <c r="D23" s="11">
        <v>45139</v>
      </c>
      <c r="E23" s="5">
        <v>45210</v>
      </c>
      <c r="F23" s="5">
        <v>45210</v>
      </c>
      <c r="G23" s="5">
        <v>45212</v>
      </c>
      <c r="H23" s="6">
        <v>42044846</v>
      </c>
      <c r="I23" s="6">
        <f t="shared" si="14"/>
        <v>7568072.2799999993</v>
      </c>
      <c r="J23" s="6">
        <v>-1659665</v>
      </c>
      <c r="K23" s="6">
        <f t="shared" si="10"/>
        <v>40385181</v>
      </c>
      <c r="L23" s="6">
        <f t="shared" si="15"/>
        <v>47953253.280000001</v>
      </c>
      <c r="M23" s="6">
        <v>47953253</v>
      </c>
      <c r="N23" s="6">
        <f t="shared" si="1"/>
        <v>42044845.719999999</v>
      </c>
      <c r="O23" s="6">
        <f t="shared" si="11"/>
        <v>40385180.719999999</v>
      </c>
      <c r="P23" s="6">
        <f t="shared" si="12"/>
        <v>0.2800000011920929</v>
      </c>
      <c r="Q23" s="16">
        <f t="shared" si="16"/>
        <v>0.2800000011920929</v>
      </c>
      <c r="R23" s="268">
        <f t="shared" si="4"/>
        <v>0.2800000011920929</v>
      </c>
      <c r="S23" s="16">
        <f t="shared" si="17"/>
        <v>0.2800000011920929</v>
      </c>
      <c r="T23" s="33">
        <f t="shared" si="13"/>
        <v>45240</v>
      </c>
    </row>
    <row r="24" spans="2:20" x14ac:dyDescent="0.3">
      <c r="B24" s="355"/>
      <c r="C24" s="4" t="s">
        <v>14</v>
      </c>
      <c r="D24" s="11">
        <v>45170</v>
      </c>
      <c r="E24" s="5">
        <v>45210</v>
      </c>
      <c r="F24" s="5">
        <v>45210</v>
      </c>
      <c r="G24" s="5">
        <v>45212</v>
      </c>
      <c r="H24" s="6">
        <v>42044846</v>
      </c>
      <c r="I24" s="6">
        <f t="shared" si="14"/>
        <v>7568072.2799999993</v>
      </c>
      <c r="J24" s="6">
        <v>-1659665</v>
      </c>
      <c r="K24" s="6">
        <f t="shared" si="10"/>
        <v>40385181</v>
      </c>
      <c r="L24" s="6">
        <f t="shared" si="15"/>
        <v>47953253.280000001</v>
      </c>
      <c r="M24" s="6">
        <v>47953253</v>
      </c>
      <c r="N24" s="6">
        <f t="shared" si="1"/>
        <v>42044845.719999999</v>
      </c>
      <c r="O24" s="6">
        <f t="shared" si="11"/>
        <v>40385180.719999999</v>
      </c>
      <c r="P24" s="6">
        <f t="shared" si="12"/>
        <v>0.2800000011920929</v>
      </c>
      <c r="Q24" s="16">
        <f t="shared" si="16"/>
        <v>0.2800000011920929</v>
      </c>
      <c r="R24" s="268">
        <f t="shared" si="4"/>
        <v>0.2800000011920929</v>
      </c>
      <c r="S24" s="16">
        <f t="shared" si="17"/>
        <v>0.2800000011920929</v>
      </c>
      <c r="T24" s="33">
        <f t="shared" si="13"/>
        <v>45240</v>
      </c>
    </row>
    <row r="25" spans="2:20" x14ac:dyDescent="0.3">
      <c r="B25" s="355"/>
      <c r="C25" s="4" t="s">
        <v>9</v>
      </c>
      <c r="D25" s="11">
        <v>45200</v>
      </c>
      <c r="E25" s="5">
        <v>45218</v>
      </c>
      <c r="F25" s="5">
        <v>45230</v>
      </c>
      <c r="G25" s="5">
        <v>45260</v>
      </c>
      <c r="H25" s="6">
        <v>42044846</v>
      </c>
      <c r="I25" s="6">
        <f t="shared" si="14"/>
        <v>7568072.2799999993</v>
      </c>
      <c r="J25" s="6">
        <v>-1659665</v>
      </c>
      <c r="K25" s="6">
        <f t="shared" si="10"/>
        <v>40385181</v>
      </c>
      <c r="L25" s="6">
        <f t="shared" si="15"/>
        <v>47953253.280000001</v>
      </c>
      <c r="M25" s="6">
        <v>47953253</v>
      </c>
      <c r="N25" s="6">
        <f t="shared" si="1"/>
        <v>42044845.719999999</v>
      </c>
      <c r="O25" s="6">
        <f t="shared" si="11"/>
        <v>40385180.719999999</v>
      </c>
      <c r="P25" s="6">
        <f t="shared" si="12"/>
        <v>0.2800000011920929</v>
      </c>
      <c r="Q25" s="16">
        <f t="shared" si="16"/>
        <v>0.2800000011920929</v>
      </c>
      <c r="R25" s="268">
        <f t="shared" si="4"/>
        <v>0.2800000011920929</v>
      </c>
      <c r="S25" s="16">
        <f t="shared" si="17"/>
        <v>0.2800000011920929</v>
      </c>
      <c r="T25" s="33">
        <f t="shared" si="13"/>
        <v>45260</v>
      </c>
    </row>
    <row r="26" spans="2:20" x14ac:dyDescent="0.3">
      <c r="B26" s="355"/>
      <c r="C26" s="4" t="s">
        <v>25</v>
      </c>
      <c r="D26" s="11">
        <v>45231</v>
      </c>
      <c r="E26" s="5">
        <v>45253</v>
      </c>
      <c r="F26" s="5">
        <v>45260</v>
      </c>
      <c r="G26" s="5">
        <v>45302</v>
      </c>
      <c r="H26" s="16">
        <v>42044846</v>
      </c>
      <c r="I26" s="6">
        <f t="shared" si="14"/>
        <v>7568072.2799999993</v>
      </c>
      <c r="J26" s="6">
        <v>-1659665</v>
      </c>
      <c r="K26" s="6">
        <f t="shared" si="10"/>
        <v>40385181</v>
      </c>
      <c r="L26" s="16">
        <f t="shared" si="15"/>
        <v>47953253.280000001</v>
      </c>
      <c r="M26" s="16">
        <v>47953253</v>
      </c>
      <c r="N26" s="6">
        <f t="shared" si="1"/>
        <v>42044845.719999999</v>
      </c>
      <c r="O26" s="6">
        <f t="shared" si="11"/>
        <v>40385180.719999999</v>
      </c>
      <c r="P26" s="6">
        <f t="shared" si="12"/>
        <v>0.2800000011920929</v>
      </c>
      <c r="Q26" s="16">
        <f t="shared" si="16"/>
        <v>0.2800000011920929</v>
      </c>
      <c r="R26" s="268">
        <f t="shared" si="4"/>
        <v>0.2800000011920929</v>
      </c>
      <c r="S26" s="16">
        <f t="shared" si="17"/>
        <v>0.2800000011920929</v>
      </c>
      <c r="T26" s="33">
        <f t="shared" si="13"/>
        <v>45290</v>
      </c>
    </row>
    <row r="27" spans="2:20" x14ac:dyDescent="0.3">
      <c r="B27" s="355"/>
      <c r="C27" s="4" t="s">
        <v>27</v>
      </c>
      <c r="D27" s="11">
        <v>45261</v>
      </c>
      <c r="E27" s="5">
        <v>45275</v>
      </c>
      <c r="F27" s="5">
        <v>45278</v>
      </c>
      <c r="G27" s="5">
        <v>45302</v>
      </c>
      <c r="H27" s="16">
        <v>42044846</v>
      </c>
      <c r="I27" s="6">
        <f t="shared" si="14"/>
        <v>7568072.2799999993</v>
      </c>
      <c r="J27" s="6">
        <v>-1659665</v>
      </c>
      <c r="K27" s="6">
        <f t="shared" si="10"/>
        <v>40385181</v>
      </c>
      <c r="L27" s="16">
        <f t="shared" si="15"/>
        <v>47953253.280000001</v>
      </c>
      <c r="M27" s="16">
        <v>47953253</v>
      </c>
      <c r="N27" s="6">
        <f t="shared" si="1"/>
        <v>42044845.719999999</v>
      </c>
      <c r="O27" s="6">
        <f t="shared" si="11"/>
        <v>40385180.719999999</v>
      </c>
      <c r="P27" s="6">
        <f t="shared" si="12"/>
        <v>0.2800000011920929</v>
      </c>
      <c r="Q27" s="16">
        <f t="shared" si="16"/>
        <v>0.2800000011920929</v>
      </c>
      <c r="R27" s="268">
        <f t="shared" si="4"/>
        <v>0.2800000011920929</v>
      </c>
      <c r="S27" s="16">
        <f t="shared" si="17"/>
        <v>0.2800000011920929</v>
      </c>
      <c r="T27" s="33">
        <f t="shared" si="13"/>
        <v>45308</v>
      </c>
    </row>
    <row r="28" spans="2:20" s="12" customFormat="1" ht="13.5" customHeight="1" x14ac:dyDescent="0.3">
      <c r="B28" s="355"/>
      <c r="C28" s="13" t="s">
        <v>29</v>
      </c>
      <c r="D28" s="14">
        <v>45292</v>
      </c>
      <c r="E28" s="15">
        <v>45314</v>
      </c>
      <c r="F28" s="15">
        <v>45316</v>
      </c>
      <c r="G28" s="15">
        <v>45355</v>
      </c>
      <c r="H28" s="16">
        <v>42044846</v>
      </c>
      <c r="I28" s="16">
        <f t="shared" si="14"/>
        <v>7568072.2799999993</v>
      </c>
      <c r="J28" s="16">
        <v>-1659665</v>
      </c>
      <c r="K28" s="16">
        <f t="shared" si="10"/>
        <v>40385181</v>
      </c>
      <c r="L28" s="16">
        <f t="shared" si="15"/>
        <v>47953253.280000001</v>
      </c>
      <c r="M28" s="16">
        <v>47953253</v>
      </c>
      <c r="N28" s="6">
        <f t="shared" si="1"/>
        <v>42044845.719999999</v>
      </c>
      <c r="O28" s="16">
        <f t="shared" si="11"/>
        <v>40385180.719999999</v>
      </c>
      <c r="P28" s="16">
        <f t="shared" si="12"/>
        <v>0.2800000011920929</v>
      </c>
      <c r="Q28" s="16">
        <f t="shared" si="16"/>
        <v>0.2800000011920929</v>
      </c>
      <c r="R28" s="268">
        <f t="shared" si="4"/>
        <v>0.2800000011920929</v>
      </c>
      <c r="S28" s="16">
        <f t="shared" si="17"/>
        <v>0.2800000011920929</v>
      </c>
      <c r="T28" s="34">
        <f t="shared" si="13"/>
        <v>45346</v>
      </c>
    </row>
    <row r="29" spans="2:20" s="12" customFormat="1" x14ac:dyDescent="0.3">
      <c r="B29" s="355"/>
      <c r="C29" s="13" t="s">
        <v>31</v>
      </c>
      <c r="D29" s="14">
        <v>45323</v>
      </c>
      <c r="E29" s="15">
        <v>45348</v>
      </c>
      <c r="F29" s="15">
        <v>45351</v>
      </c>
      <c r="G29" s="15">
        <v>45387</v>
      </c>
      <c r="H29" s="16">
        <v>42044846</v>
      </c>
      <c r="I29" s="16">
        <f t="shared" si="14"/>
        <v>7568072.2799999993</v>
      </c>
      <c r="J29" s="16">
        <v>-1659665</v>
      </c>
      <c r="K29" s="16">
        <f t="shared" si="10"/>
        <v>40385181</v>
      </c>
      <c r="L29" s="16">
        <f t="shared" si="15"/>
        <v>47953253.280000001</v>
      </c>
      <c r="M29" s="16">
        <v>47953253</v>
      </c>
      <c r="N29" s="6">
        <f t="shared" si="1"/>
        <v>42044845.719999999</v>
      </c>
      <c r="O29" s="16">
        <f t="shared" si="11"/>
        <v>40385180.719999999</v>
      </c>
      <c r="P29" s="16">
        <f t="shared" si="12"/>
        <v>0.2800000011920929</v>
      </c>
      <c r="Q29" s="16">
        <f t="shared" si="16"/>
        <v>0.2800000011920929</v>
      </c>
      <c r="R29" s="268">
        <f t="shared" si="4"/>
        <v>0.2800000011920929</v>
      </c>
      <c r="S29" s="16">
        <f t="shared" si="17"/>
        <v>0.2800000011920929</v>
      </c>
      <c r="T29" s="34">
        <f t="shared" si="13"/>
        <v>45381</v>
      </c>
    </row>
    <row r="30" spans="2:20" s="12" customFormat="1" x14ac:dyDescent="0.3">
      <c r="B30" s="355"/>
      <c r="C30" s="13" t="s">
        <v>32</v>
      </c>
      <c r="D30" s="14">
        <v>45352</v>
      </c>
      <c r="E30" s="15">
        <v>45376</v>
      </c>
      <c r="F30" s="15">
        <v>45378</v>
      </c>
      <c r="G30" s="15">
        <v>45439</v>
      </c>
      <c r="H30" s="16">
        <v>42044846</v>
      </c>
      <c r="I30" s="16">
        <f t="shared" si="14"/>
        <v>7568072.2799999993</v>
      </c>
      <c r="J30" s="16">
        <v>-1659665</v>
      </c>
      <c r="K30" s="16">
        <f t="shared" si="10"/>
        <v>40385181</v>
      </c>
      <c r="L30" s="16">
        <f t="shared" si="15"/>
        <v>47953253.280000001</v>
      </c>
      <c r="M30" s="16">
        <v>47953253</v>
      </c>
      <c r="N30" s="6">
        <f t="shared" si="1"/>
        <v>42044845.719999999</v>
      </c>
      <c r="O30" s="16">
        <f t="shared" si="11"/>
        <v>40385180.719999999</v>
      </c>
      <c r="P30" s="16">
        <f t="shared" si="12"/>
        <v>0.2800000011920929</v>
      </c>
      <c r="Q30" s="16">
        <f t="shared" si="16"/>
        <v>0.2800000011920929</v>
      </c>
      <c r="R30" s="268">
        <f t="shared" si="4"/>
        <v>0.2800000011920929</v>
      </c>
      <c r="S30" s="16">
        <f t="shared" si="17"/>
        <v>0.2800000011920929</v>
      </c>
      <c r="T30" s="34">
        <f t="shared" si="13"/>
        <v>45408</v>
      </c>
    </row>
    <row r="31" spans="2:20" s="12" customFormat="1" x14ac:dyDescent="0.3">
      <c r="B31" s="355"/>
      <c r="C31" s="13" t="s">
        <v>33</v>
      </c>
      <c r="D31" s="14">
        <v>45383</v>
      </c>
      <c r="E31" s="15">
        <v>45406</v>
      </c>
      <c r="F31" s="15">
        <v>45411</v>
      </c>
      <c r="G31" s="15">
        <v>45457</v>
      </c>
      <c r="H31" s="16">
        <v>42044846</v>
      </c>
      <c r="I31" s="16">
        <f t="shared" si="14"/>
        <v>7568072.2799999993</v>
      </c>
      <c r="J31" s="16">
        <v>-1659665</v>
      </c>
      <c r="K31" s="16">
        <f t="shared" si="10"/>
        <v>40385181</v>
      </c>
      <c r="L31" s="16">
        <f t="shared" si="15"/>
        <v>47953253.280000001</v>
      </c>
      <c r="M31" s="16">
        <v>47953253</v>
      </c>
      <c r="N31" s="6">
        <f t="shared" si="1"/>
        <v>42044845.719999999</v>
      </c>
      <c r="O31" s="16">
        <f t="shared" si="11"/>
        <v>40385180.719999999</v>
      </c>
      <c r="P31" s="16">
        <f t="shared" si="12"/>
        <v>0.2800000011920929</v>
      </c>
      <c r="Q31" s="16">
        <f t="shared" si="16"/>
        <v>0.2800000011920929</v>
      </c>
      <c r="R31" s="268">
        <f t="shared" si="4"/>
        <v>0.2800000011920929</v>
      </c>
      <c r="S31" s="16">
        <f t="shared" si="17"/>
        <v>0.2800000011920929</v>
      </c>
      <c r="T31" s="34">
        <f t="shared" si="13"/>
        <v>45441</v>
      </c>
    </row>
    <row r="32" spans="2:20" s="12" customFormat="1" x14ac:dyDescent="0.3">
      <c r="B32" s="355"/>
      <c r="C32" s="13" t="s">
        <v>38</v>
      </c>
      <c r="D32" s="14">
        <v>45413</v>
      </c>
      <c r="E32" s="15">
        <v>45436</v>
      </c>
      <c r="F32" s="15">
        <v>45440</v>
      </c>
      <c r="G32" s="15">
        <v>45544</v>
      </c>
      <c r="H32" s="16">
        <v>42044846</v>
      </c>
      <c r="I32" s="16">
        <f t="shared" si="14"/>
        <v>7568072.2799999993</v>
      </c>
      <c r="J32" s="16">
        <v>-1659665</v>
      </c>
      <c r="K32" s="16">
        <f t="shared" si="10"/>
        <v>40385181</v>
      </c>
      <c r="L32" s="16">
        <f t="shared" si="15"/>
        <v>47953253.280000001</v>
      </c>
      <c r="M32" s="16">
        <v>47953253</v>
      </c>
      <c r="N32" s="6">
        <f t="shared" si="1"/>
        <v>42044845.719999999</v>
      </c>
      <c r="O32" s="16">
        <f t="shared" si="11"/>
        <v>40385180.719999999</v>
      </c>
      <c r="P32" s="16">
        <f>+L32-M32</f>
        <v>0.2800000011920929</v>
      </c>
      <c r="Q32" s="16">
        <f>P32</f>
        <v>0.2800000011920929</v>
      </c>
      <c r="R32" s="268">
        <f t="shared" si="4"/>
        <v>0.2800000011920929</v>
      </c>
      <c r="S32" s="16">
        <f>+L32-M32</f>
        <v>0.2800000011920929</v>
      </c>
      <c r="T32" s="34">
        <f t="shared" si="13"/>
        <v>45470</v>
      </c>
    </row>
    <row r="33" spans="2:20" s="12" customFormat="1" x14ac:dyDescent="0.3">
      <c r="B33" s="355"/>
      <c r="C33" s="13" t="s">
        <v>76</v>
      </c>
      <c r="D33" s="14">
        <v>45444</v>
      </c>
      <c r="E33" s="15">
        <v>45456</v>
      </c>
      <c r="F33" s="15">
        <v>45470</v>
      </c>
      <c r="G33" s="15">
        <v>45544</v>
      </c>
      <c r="H33" s="16">
        <v>42044846</v>
      </c>
      <c r="I33" s="16">
        <f t="shared" si="14"/>
        <v>7568072.2799999993</v>
      </c>
      <c r="J33" s="16">
        <v>-1659665</v>
      </c>
      <c r="K33" s="16">
        <f t="shared" si="10"/>
        <v>40385181</v>
      </c>
      <c r="L33" s="16">
        <f t="shared" si="15"/>
        <v>47953253.280000001</v>
      </c>
      <c r="M33" s="16">
        <v>47953253</v>
      </c>
      <c r="N33" s="6">
        <f t="shared" si="1"/>
        <v>42044845.719999999</v>
      </c>
      <c r="O33" s="16">
        <f t="shared" si="11"/>
        <v>40385180.719999999</v>
      </c>
      <c r="P33" s="16">
        <f t="shared" si="12"/>
        <v>0.2800000011920929</v>
      </c>
      <c r="Q33" s="16">
        <f t="shared" si="16"/>
        <v>0.2800000011920929</v>
      </c>
      <c r="R33" s="268">
        <f t="shared" si="4"/>
        <v>0.2800000011920929</v>
      </c>
      <c r="S33" s="16">
        <f>+L33-M33</f>
        <v>0.2800000011920929</v>
      </c>
      <c r="T33" s="34">
        <f t="shared" si="13"/>
        <v>45500</v>
      </c>
    </row>
    <row r="34" spans="2:20" s="12" customFormat="1" x14ac:dyDescent="0.3">
      <c r="B34" s="355"/>
      <c r="C34" s="13" t="s">
        <v>97</v>
      </c>
      <c r="D34" s="14">
        <v>45474</v>
      </c>
      <c r="E34" s="15">
        <v>45497</v>
      </c>
      <c r="F34" s="15">
        <v>45498</v>
      </c>
      <c r="G34" s="15">
        <v>45583</v>
      </c>
      <c r="H34" s="16">
        <v>42044846</v>
      </c>
      <c r="I34" s="16">
        <f t="shared" si="14"/>
        <v>7568072.2799999993</v>
      </c>
      <c r="J34" s="16">
        <v>-1659665</v>
      </c>
      <c r="K34" s="16">
        <f t="shared" si="10"/>
        <v>40385181</v>
      </c>
      <c r="L34" s="16">
        <f t="shared" si="15"/>
        <v>47953253.280000001</v>
      </c>
      <c r="M34" s="16">
        <v>47953253</v>
      </c>
      <c r="N34" s="6">
        <f t="shared" si="1"/>
        <v>42044845.719999999</v>
      </c>
      <c r="O34" s="16">
        <f t="shared" si="11"/>
        <v>40385180.719999999</v>
      </c>
      <c r="P34" s="16">
        <f t="shared" si="12"/>
        <v>0.2800000011920929</v>
      </c>
      <c r="Q34" s="16">
        <f t="shared" si="16"/>
        <v>0.2800000011920929</v>
      </c>
      <c r="R34" s="268">
        <f t="shared" si="4"/>
        <v>0.2800000011920929</v>
      </c>
      <c r="S34" s="16">
        <f t="shared" ref="S34:S40" si="18">+L34-M34</f>
        <v>0.2800000011920929</v>
      </c>
      <c r="T34" s="34">
        <f t="shared" si="13"/>
        <v>45528</v>
      </c>
    </row>
    <row r="35" spans="2:20" s="12" customFormat="1" x14ac:dyDescent="0.3">
      <c r="B35" s="355"/>
      <c r="C35" s="13" t="s">
        <v>107</v>
      </c>
      <c r="D35" s="14">
        <v>45505</v>
      </c>
      <c r="E35" s="15">
        <v>45530</v>
      </c>
      <c r="F35" s="15">
        <v>45531</v>
      </c>
      <c r="G35" s="15">
        <v>45583</v>
      </c>
      <c r="H35" s="16">
        <v>42044846</v>
      </c>
      <c r="I35" s="16">
        <f t="shared" si="14"/>
        <v>7568072.2799999993</v>
      </c>
      <c r="J35" s="16">
        <v>-1659665</v>
      </c>
      <c r="K35" s="16">
        <f t="shared" si="10"/>
        <v>40385181</v>
      </c>
      <c r="L35" s="16">
        <f t="shared" si="15"/>
        <v>47953253.280000001</v>
      </c>
      <c r="M35" s="16">
        <v>47953253</v>
      </c>
      <c r="N35" s="6">
        <f t="shared" si="1"/>
        <v>42044845.719999999</v>
      </c>
      <c r="O35" s="16">
        <f t="shared" si="11"/>
        <v>40385180.719999999</v>
      </c>
      <c r="P35" s="16">
        <f t="shared" si="12"/>
        <v>0.2800000011920929</v>
      </c>
      <c r="Q35" s="16">
        <f t="shared" si="16"/>
        <v>0.2800000011920929</v>
      </c>
      <c r="R35" s="268">
        <f t="shared" si="4"/>
        <v>0.2800000011920929</v>
      </c>
      <c r="S35" s="16">
        <f t="shared" si="18"/>
        <v>0.2800000011920929</v>
      </c>
      <c r="T35" s="34">
        <f t="shared" si="13"/>
        <v>45561</v>
      </c>
    </row>
    <row r="36" spans="2:20" s="12" customFormat="1" x14ac:dyDescent="0.3">
      <c r="B36" s="355"/>
      <c r="C36" s="13" t="s">
        <v>111</v>
      </c>
      <c r="D36" s="14">
        <v>45536</v>
      </c>
      <c r="E36" s="15">
        <v>45560</v>
      </c>
      <c r="F36" s="15">
        <v>45567</v>
      </c>
      <c r="G36" s="15">
        <v>45656</v>
      </c>
      <c r="H36" s="16">
        <v>42044846</v>
      </c>
      <c r="I36" s="16">
        <f t="shared" si="14"/>
        <v>7568072.2799999993</v>
      </c>
      <c r="J36" s="16">
        <v>-1659665</v>
      </c>
      <c r="K36" s="16">
        <f t="shared" si="10"/>
        <v>40385181</v>
      </c>
      <c r="L36" s="16">
        <f>H36+I36+J36</f>
        <v>47953253.280000001</v>
      </c>
      <c r="M36" s="16">
        <v>47953253</v>
      </c>
      <c r="N36" s="6">
        <f t="shared" si="1"/>
        <v>42044845.719999999</v>
      </c>
      <c r="O36" s="16">
        <f t="shared" si="11"/>
        <v>40385180.719999999</v>
      </c>
      <c r="P36" s="16">
        <f t="shared" si="12"/>
        <v>0.2800000011920929</v>
      </c>
      <c r="Q36" s="16">
        <f t="shared" si="16"/>
        <v>0.2800000011920929</v>
      </c>
      <c r="R36" s="268">
        <f t="shared" si="4"/>
        <v>0.2800000011920929</v>
      </c>
      <c r="S36" s="16">
        <f t="shared" si="18"/>
        <v>0.2800000011920929</v>
      </c>
      <c r="T36" s="34">
        <f t="shared" si="13"/>
        <v>45597</v>
      </c>
    </row>
    <row r="37" spans="2:20" s="12" customFormat="1" x14ac:dyDescent="0.3">
      <c r="B37" s="355"/>
      <c r="C37" s="13" t="s">
        <v>150</v>
      </c>
      <c r="D37" s="14">
        <v>45566</v>
      </c>
      <c r="E37" s="15">
        <v>45590</v>
      </c>
      <c r="F37" s="15">
        <v>45594</v>
      </c>
      <c r="G37" s="15">
        <v>45656</v>
      </c>
      <c r="H37" s="16">
        <v>42044846</v>
      </c>
      <c r="I37" s="16">
        <f t="shared" si="14"/>
        <v>7568072.2799999993</v>
      </c>
      <c r="J37" s="16">
        <v>-1659665</v>
      </c>
      <c r="K37" s="16">
        <f t="shared" si="10"/>
        <v>40385181</v>
      </c>
      <c r="L37" s="16">
        <f t="shared" si="15"/>
        <v>47953253.280000001</v>
      </c>
      <c r="M37" s="16">
        <v>47953253</v>
      </c>
      <c r="N37" s="6">
        <f t="shared" si="1"/>
        <v>42044845.719999999</v>
      </c>
      <c r="O37" s="16">
        <f t="shared" si="11"/>
        <v>40385180.719999999</v>
      </c>
      <c r="P37" s="16">
        <f t="shared" si="12"/>
        <v>0.2800000011920929</v>
      </c>
      <c r="Q37" s="16">
        <f t="shared" si="16"/>
        <v>0.2800000011920929</v>
      </c>
      <c r="R37" s="268">
        <f t="shared" si="4"/>
        <v>0.2800000011920929</v>
      </c>
      <c r="S37" s="16">
        <f t="shared" si="18"/>
        <v>0.2800000011920929</v>
      </c>
      <c r="T37" s="34">
        <f t="shared" si="13"/>
        <v>45624</v>
      </c>
    </row>
    <row r="38" spans="2:20" s="12" customFormat="1" x14ac:dyDescent="0.3">
      <c r="B38" s="355"/>
      <c r="C38" s="13" t="s">
        <v>189</v>
      </c>
      <c r="D38" s="14">
        <v>45597</v>
      </c>
      <c r="E38" s="15">
        <v>45621</v>
      </c>
      <c r="F38" s="15">
        <v>45622</v>
      </c>
      <c r="G38" s="15">
        <v>45757</v>
      </c>
      <c r="H38" s="16">
        <v>42044846</v>
      </c>
      <c r="I38" s="16">
        <f t="shared" si="14"/>
        <v>7568072.2799999993</v>
      </c>
      <c r="J38" s="16">
        <v>-1659665</v>
      </c>
      <c r="K38" s="16">
        <f t="shared" si="10"/>
        <v>40385181</v>
      </c>
      <c r="L38" s="16">
        <f t="shared" si="15"/>
        <v>47953253.280000001</v>
      </c>
      <c r="M38" s="16">
        <v>47953253</v>
      </c>
      <c r="N38" s="16">
        <f t="shared" si="1"/>
        <v>42044845.719999999</v>
      </c>
      <c r="O38" s="16">
        <f t="shared" si="11"/>
        <v>40385180.719999999</v>
      </c>
      <c r="P38" s="16">
        <f>+L38-M38</f>
        <v>0.2800000011920929</v>
      </c>
      <c r="Q38" s="16">
        <f t="shared" si="16"/>
        <v>0.2800000011920929</v>
      </c>
      <c r="R38" s="268">
        <f t="shared" si="4"/>
        <v>0.2800000011920929</v>
      </c>
      <c r="S38" s="16">
        <f t="shared" si="18"/>
        <v>0.2800000011920929</v>
      </c>
      <c r="T38" s="34">
        <f t="shared" si="13"/>
        <v>45652</v>
      </c>
    </row>
    <row r="39" spans="2:20" s="12" customFormat="1" x14ac:dyDescent="0.3">
      <c r="B39" s="355"/>
      <c r="C39" s="13" t="s">
        <v>197</v>
      </c>
      <c r="D39" s="14">
        <v>45627</v>
      </c>
      <c r="E39" s="15">
        <v>45650</v>
      </c>
      <c r="F39" s="15">
        <v>45652</v>
      </c>
      <c r="G39" s="15">
        <v>45757</v>
      </c>
      <c r="H39" s="16">
        <v>42044846</v>
      </c>
      <c r="I39" s="16">
        <f t="shared" si="14"/>
        <v>7568072.2799999993</v>
      </c>
      <c r="J39" s="16">
        <v>-1659665</v>
      </c>
      <c r="K39" s="16">
        <f t="shared" si="10"/>
        <v>40385181</v>
      </c>
      <c r="L39" s="16">
        <f t="shared" si="15"/>
        <v>47953253.280000001</v>
      </c>
      <c r="M39" s="16">
        <v>47953253</v>
      </c>
      <c r="N39" s="16">
        <f t="shared" si="1"/>
        <v>42044845.719999999</v>
      </c>
      <c r="O39" s="16">
        <f t="shared" si="11"/>
        <v>40385180.719999999</v>
      </c>
      <c r="P39" s="16">
        <f t="shared" si="12"/>
        <v>0.2800000011920929</v>
      </c>
      <c r="Q39" s="16">
        <f t="shared" si="16"/>
        <v>0.2800000011920929</v>
      </c>
      <c r="R39" s="268">
        <f t="shared" si="4"/>
        <v>0.2800000011920929</v>
      </c>
      <c r="S39" s="16">
        <f t="shared" si="18"/>
        <v>0.2800000011920929</v>
      </c>
      <c r="T39" s="34">
        <f t="shared" si="13"/>
        <v>45682</v>
      </c>
    </row>
    <row r="40" spans="2:20" s="12" customFormat="1" x14ac:dyDescent="0.3">
      <c r="B40" s="355"/>
      <c r="C40" s="13" t="s">
        <v>219</v>
      </c>
      <c r="D40" s="14">
        <v>45658</v>
      </c>
      <c r="E40" s="15">
        <v>45681</v>
      </c>
      <c r="F40" s="15">
        <v>45686</v>
      </c>
      <c r="G40" s="15">
        <v>45764</v>
      </c>
      <c r="H40" s="16">
        <v>42044846</v>
      </c>
      <c r="I40" s="16">
        <f t="shared" si="14"/>
        <v>7568072.2799999993</v>
      </c>
      <c r="J40" s="16">
        <v>-1659665</v>
      </c>
      <c r="K40" s="16">
        <f t="shared" si="10"/>
        <v>40385181</v>
      </c>
      <c r="L40" s="16">
        <f t="shared" si="15"/>
        <v>47953253.280000001</v>
      </c>
      <c r="M40" s="16">
        <v>47953253</v>
      </c>
      <c r="N40" s="16">
        <f t="shared" si="1"/>
        <v>42044845.719999999</v>
      </c>
      <c r="O40" s="16">
        <f t="shared" si="11"/>
        <v>40385180.719999999</v>
      </c>
      <c r="P40" s="16">
        <f t="shared" si="12"/>
        <v>0.2800000011920929</v>
      </c>
      <c r="Q40" s="16">
        <f t="shared" si="16"/>
        <v>0.2800000011920929</v>
      </c>
      <c r="R40" s="268">
        <f t="shared" si="4"/>
        <v>0.2800000011920929</v>
      </c>
      <c r="S40" s="16">
        <f t="shared" si="18"/>
        <v>0.2800000011920929</v>
      </c>
      <c r="T40" s="34">
        <f t="shared" si="13"/>
        <v>45716</v>
      </c>
    </row>
    <row r="41" spans="2:20" s="12" customFormat="1" x14ac:dyDescent="0.3">
      <c r="B41" s="355"/>
      <c r="C41" s="13" t="s">
        <v>370</v>
      </c>
      <c r="D41" s="14">
        <v>45689</v>
      </c>
      <c r="E41" s="15">
        <v>45709</v>
      </c>
      <c r="F41" s="15">
        <v>45712</v>
      </c>
      <c r="G41" s="15">
        <v>45786</v>
      </c>
      <c r="H41" s="16">
        <v>42044846</v>
      </c>
      <c r="I41" s="16">
        <f t="shared" si="14"/>
        <v>7568072.2799999993</v>
      </c>
      <c r="J41" s="16">
        <v>-1659665</v>
      </c>
      <c r="K41" s="16">
        <f t="shared" si="10"/>
        <v>40385181</v>
      </c>
      <c r="L41" s="16">
        <f t="shared" si="15"/>
        <v>47953253.280000001</v>
      </c>
      <c r="M41" s="16">
        <v>47953253</v>
      </c>
      <c r="N41" s="16">
        <f t="shared" si="1"/>
        <v>42044845.719999999</v>
      </c>
      <c r="O41" s="16">
        <f t="shared" si="11"/>
        <v>40385180.719999999</v>
      </c>
      <c r="P41" s="16">
        <f t="shared" si="12"/>
        <v>0.2800000011920929</v>
      </c>
      <c r="Q41" s="16">
        <f>L41-M41</f>
        <v>0.2800000011920929</v>
      </c>
      <c r="R41" s="268">
        <f>H41-N41</f>
        <v>0.2800000011920929</v>
      </c>
      <c r="S41" s="16">
        <f>K41-O41</f>
        <v>0.2800000011920929</v>
      </c>
      <c r="T41" s="34">
        <f t="shared" si="13"/>
        <v>45742</v>
      </c>
    </row>
    <row r="42" spans="2:20" s="12" customFormat="1" x14ac:dyDescent="0.3">
      <c r="B42" s="355"/>
      <c r="C42" s="13" t="s">
        <v>394</v>
      </c>
      <c r="D42" s="14">
        <v>45717</v>
      </c>
      <c r="E42" s="15">
        <v>45736</v>
      </c>
      <c r="F42" s="15">
        <v>45741</v>
      </c>
      <c r="G42" s="15"/>
      <c r="H42" s="16">
        <v>55322165</v>
      </c>
      <c r="I42" s="16">
        <f t="shared" si="14"/>
        <v>9957989.6999999993</v>
      </c>
      <c r="J42" s="16">
        <v>-1659665</v>
      </c>
      <c r="K42" s="16">
        <f t="shared" si="10"/>
        <v>53662500</v>
      </c>
      <c r="L42" s="16">
        <f t="shared" si="15"/>
        <v>63620489.700000003</v>
      </c>
      <c r="M42" s="16"/>
      <c r="N42" s="16"/>
      <c r="O42" s="16"/>
      <c r="P42" s="16">
        <f>H42+I42</f>
        <v>65280154.700000003</v>
      </c>
      <c r="Q42" s="16">
        <f t="shared" ref="Q42:Q44" si="19">L42-M42</f>
        <v>63620489.700000003</v>
      </c>
      <c r="R42" s="268">
        <f>H42-N42</f>
        <v>55322165</v>
      </c>
      <c r="S42" s="16">
        <f>K42-O42</f>
        <v>53662500</v>
      </c>
      <c r="T42" s="34">
        <f t="shared" si="13"/>
        <v>45771</v>
      </c>
    </row>
    <row r="43" spans="2:20" s="12" customFormat="1" x14ac:dyDescent="0.3">
      <c r="B43" s="355"/>
      <c r="C43" s="13" t="s">
        <v>407</v>
      </c>
      <c r="D43" s="14">
        <v>45748</v>
      </c>
      <c r="E43" s="15">
        <v>45772</v>
      </c>
      <c r="F43" s="15">
        <v>45779</v>
      </c>
      <c r="G43" s="15"/>
      <c r="H43" s="16">
        <v>55322165</v>
      </c>
      <c r="I43" s="16">
        <f t="shared" si="14"/>
        <v>9957989.6999999993</v>
      </c>
      <c r="J43" s="16">
        <v>-1659665</v>
      </c>
      <c r="K43" s="16">
        <f t="shared" si="10"/>
        <v>53662500</v>
      </c>
      <c r="L43" s="16">
        <f t="shared" si="15"/>
        <v>63620489.700000003</v>
      </c>
      <c r="M43" s="16"/>
      <c r="N43" s="16"/>
      <c r="O43" s="16"/>
      <c r="P43" s="16">
        <f>H43+I43</f>
        <v>65280154.700000003</v>
      </c>
      <c r="Q43" s="16">
        <f t="shared" si="19"/>
        <v>63620489.700000003</v>
      </c>
      <c r="R43" s="268">
        <f>H43-N43</f>
        <v>55322165</v>
      </c>
      <c r="S43" s="16">
        <f>K43-O43</f>
        <v>53662500</v>
      </c>
      <c r="T43" s="34">
        <f t="shared" si="13"/>
        <v>45809</v>
      </c>
    </row>
    <row r="44" spans="2:20" s="12" customFormat="1" x14ac:dyDescent="0.3">
      <c r="B44" s="355"/>
      <c r="C44" s="13" t="s">
        <v>422</v>
      </c>
      <c r="D44" s="14">
        <v>45778</v>
      </c>
      <c r="E44" s="15">
        <v>45797</v>
      </c>
      <c r="F44" s="15">
        <v>45799</v>
      </c>
      <c r="G44" s="15"/>
      <c r="H44" s="16">
        <v>55322165</v>
      </c>
      <c r="I44" s="16">
        <f t="shared" si="14"/>
        <v>9957989.6999999993</v>
      </c>
      <c r="J44" s="16">
        <v>-1659665</v>
      </c>
      <c r="K44" s="16">
        <f t="shared" si="10"/>
        <v>53662500</v>
      </c>
      <c r="L44" s="16">
        <f t="shared" si="15"/>
        <v>63620489.700000003</v>
      </c>
      <c r="M44" s="16"/>
      <c r="N44" s="16"/>
      <c r="O44" s="16"/>
      <c r="P44" s="16">
        <f>H44+I44</f>
        <v>65280154.700000003</v>
      </c>
      <c r="Q44" s="16">
        <f t="shared" si="19"/>
        <v>63620489.700000003</v>
      </c>
      <c r="R44" s="268">
        <f>H44-N44</f>
        <v>55322165</v>
      </c>
      <c r="S44" s="16">
        <f>K44-O44</f>
        <v>53662500</v>
      </c>
      <c r="T44" s="34">
        <f t="shared" si="13"/>
        <v>45829</v>
      </c>
    </row>
    <row r="45" spans="2:20" s="12" customFormat="1" x14ac:dyDescent="0.3">
      <c r="B45" s="355"/>
      <c r="C45" s="13"/>
      <c r="D45" s="14"/>
      <c r="E45" s="15"/>
      <c r="F45" s="15"/>
      <c r="G45" s="15"/>
      <c r="H45" s="16"/>
      <c r="I45" s="16"/>
      <c r="J45" s="16"/>
      <c r="K45" s="16"/>
      <c r="L45" s="16"/>
      <c r="M45" s="16"/>
      <c r="N45" s="16"/>
      <c r="O45" s="16"/>
      <c r="P45" s="16"/>
      <c r="Q45" s="16">
        <f t="shared" si="16"/>
        <v>0</v>
      </c>
      <c r="R45" s="268">
        <f t="shared" si="4"/>
        <v>0</v>
      </c>
      <c r="S45" s="16">
        <f t="shared" ref="S45" si="20">+L45-M45-I45</f>
        <v>0</v>
      </c>
      <c r="T45" s="34"/>
    </row>
    <row r="46" spans="2:20" s="12" customFormat="1" x14ac:dyDescent="0.3">
      <c r="B46" s="355"/>
      <c r="C46" s="353" t="s">
        <v>17</v>
      </c>
      <c r="D46" s="353"/>
      <c r="E46" s="353"/>
      <c r="F46" s="353"/>
      <c r="G46" s="353"/>
      <c r="H46" s="18">
        <f>+SUM(H21:H45)</f>
        <v>1272409810</v>
      </c>
      <c r="I46" s="18">
        <f t="shared" ref="I46:P46" si="21">+SUM(I21:I45)</f>
        <v>229033765.79999998</v>
      </c>
      <c r="J46" s="18">
        <f t="shared" si="21"/>
        <v>-38172295</v>
      </c>
      <c r="K46" s="18">
        <f t="shared" si="21"/>
        <v>1234237515</v>
      </c>
      <c r="L46" s="18">
        <f t="shared" si="21"/>
        <v>1463271280.7999997</v>
      </c>
      <c r="M46" s="18">
        <f>+SUM(M21:M45)</f>
        <v>1272409806</v>
      </c>
      <c r="N46" s="18">
        <f>+SUM(N21:N45)</f>
        <v>1106443309.3000004</v>
      </c>
      <c r="O46" s="18">
        <f>+SUM(O21:O45)</f>
        <v>1073250009.3000005</v>
      </c>
      <c r="P46" s="18">
        <f t="shared" si="21"/>
        <v>195840469.80000007</v>
      </c>
      <c r="Q46" s="18">
        <f>+SUM(Q21:Q45)</f>
        <v>190861474.80000007</v>
      </c>
      <c r="R46" s="273">
        <f>+SUM(R21:R45)</f>
        <v>165966500.70000002</v>
      </c>
      <c r="S46" s="18">
        <f>+SUM(S21:S45)</f>
        <v>160987505.70000005</v>
      </c>
      <c r="T46" s="73"/>
    </row>
    <row r="47" spans="2:20" s="25" customFormat="1" ht="14.25" customHeight="1" x14ac:dyDescent="0.3">
      <c r="B47" s="354" t="s">
        <v>35</v>
      </c>
      <c r="C47" s="22" t="s">
        <v>36</v>
      </c>
      <c r="D47" s="13" t="s">
        <v>37</v>
      </c>
      <c r="E47" s="23">
        <v>45414</v>
      </c>
      <c r="F47" s="23">
        <v>45414</v>
      </c>
      <c r="G47" s="23">
        <v>45443</v>
      </c>
      <c r="H47" s="24">
        <v>68374900</v>
      </c>
      <c r="I47" s="24">
        <f t="shared" ref="I47:I64" si="22">+H47*0.18*60%</f>
        <v>7384489.2000000002</v>
      </c>
      <c r="J47" s="24">
        <f t="shared" ref="J47:J64" si="23">-1%*H47</f>
        <v>-683749</v>
      </c>
      <c r="K47" s="16">
        <f t="shared" ref="K47:K64" si="24">+H47+J47</f>
        <v>67691151</v>
      </c>
      <c r="L47" s="16">
        <f t="shared" ref="L47:L64" si="25">H47+I47+J47</f>
        <v>75075640.200000003</v>
      </c>
      <c r="M47" s="24">
        <v>80682382</v>
      </c>
      <c r="N47" s="6">
        <f t="shared" ref="N47:N55" si="26">+M47-I47-J47</f>
        <v>73981641.799999997</v>
      </c>
      <c r="O47" s="16">
        <f>+M47-I47</f>
        <v>73297892.799999997</v>
      </c>
      <c r="P47" s="16">
        <f t="shared" ref="P47:P48" si="27">+L47-M47</f>
        <v>-5606741.799999997</v>
      </c>
      <c r="Q47" s="16">
        <f>P47</f>
        <v>-5606741.799999997</v>
      </c>
      <c r="R47" s="268">
        <f t="shared" si="4"/>
        <v>-5606741.799999997</v>
      </c>
      <c r="S47" s="16">
        <f>+Q47</f>
        <v>-5606741.799999997</v>
      </c>
      <c r="T47" s="34">
        <f t="shared" ref="T47:T64" si="28">+F47+30</f>
        <v>45444</v>
      </c>
    </row>
    <row r="48" spans="2:20" s="25" customFormat="1" ht="14.25" customHeight="1" x14ac:dyDescent="0.3">
      <c r="B48" s="354"/>
      <c r="C48" s="22" t="s">
        <v>46</v>
      </c>
      <c r="D48" s="13" t="s">
        <v>45</v>
      </c>
      <c r="E48" s="23">
        <v>45456</v>
      </c>
      <c r="F48" s="23">
        <v>45457</v>
      </c>
      <c r="G48" s="23">
        <v>45517</v>
      </c>
      <c r="H48" s="24">
        <v>14549395</v>
      </c>
      <c r="I48" s="24">
        <f t="shared" si="22"/>
        <v>1571334.66</v>
      </c>
      <c r="J48" s="24">
        <f t="shared" si="23"/>
        <v>-145493.95000000001</v>
      </c>
      <c r="K48" s="16">
        <f t="shared" si="24"/>
        <v>14403901.050000001</v>
      </c>
      <c r="L48" s="16">
        <f t="shared" si="25"/>
        <v>15975235.710000001</v>
      </c>
      <c r="M48" s="24">
        <v>10368494</v>
      </c>
      <c r="N48" s="6">
        <f t="shared" si="26"/>
        <v>8942653.2899999991</v>
      </c>
      <c r="O48" s="16">
        <f t="shared" ref="O48:O52" si="29">+M48-I48</f>
        <v>8797159.3399999999</v>
      </c>
      <c r="P48" s="16">
        <f t="shared" si="27"/>
        <v>5606741.7100000009</v>
      </c>
      <c r="Q48" s="16">
        <f t="shared" ref="Q48:Q50" si="30">P48</f>
        <v>5606741.7100000009</v>
      </c>
      <c r="R48" s="268">
        <f t="shared" si="4"/>
        <v>5606741.7100000009</v>
      </c>
      <c r="S48" s="16">
        <f>+L48-M48</f>
        <v>5606741.7100000009</v>
      </c>
      <c r="T48" s="34">
        <f t="shared" si="28"/>
        <v>45487</v>
      </c>
    </row>
    <row r="49" spans="2:20" s="25" customFormat="1" ht="14.25" customHeight="1" x14ac:dyDescent="0.3">
      <c r="B49" s="354"/>
      <c r="C49" s="22" t="s">
        <v>47</v>
      </c>
      <c r="D49" s="14">
        <v>45292</v>
      </c>
      <c r="E49" s="23">
        <v>45456</v>
      </c>
      <c r="F49" s="23">
        <v>45457</v>
      </c>
      <c r="G49" s="23">
        <v>45517</v>
      </c>
      <c r="H49" s="24">
        <v>10311395</v>
      </c>
      <c r="I49" s="24">
        <f t="shared" si="22"/>
        <v>1113630.6599999999</v>
      </c>
      <c r="J49" s="24">
        <f t="shared" si="23"/>
        <v>-103113.95</v>
      </c>
      <c r="K49" s="16">
        <f t="shared" si="24"/>
        <v>10208281.050000001</v>
      </c>
      <c r="L49" s="16">
        <f t="shared" si="25"/>
        <v>11321911.710000001</v>
      </c>
      <c r="M49" s="24">
        <v>11321912</v>
      </c>
      <c r="N49" s="6">
        <f t="shared" si="26"/>
        <v>10311395.289999999</v>
      </c>
      <c r="O49" s="16">
        <f t="shared" si="29"/>
        <v>10208281.34</v>
      </c>
      <c r="P49" s="16">
        <v>0</v>
      </c>
      <c r="Q49" s="16">
        <f t="shared" si="30"/>
        <v>0</v>
      </c>
      <c r="R49" s="268">
        <f t="shared" si="4"/>
        <v>-0.28999999910593033</v>
      </c>
      <c r="S49" s="16">
        <v>0</v>
      </c>
      <c r="T49" s="34">
        <f t="shared" si="28"/>
        <v>45487</v>
      </c>
    </row>
    <row r="50" spans="2:20" s="25" customFormat="1" ht="14.25" customHeight="1" x14ac:dyDescent="0.3">
      <c r="B50" s="354"/>
      <c r="C50" s="22" t="s">
        <v>48</v>
      </c>
      <c r="D50" s="14">
        <v>45323</v>
      </c>
      <c r="E50" s="23">
        <v>45456</v>
      </c>
      <c r="F50" s="23">
        <v>45457</v>
      </c>
      <c r="G50" s="23">
        <v>45517</v>
      </c>
      <c r="H50" s="24">
        <v>11643395</v>
      </c>
      <c r="I50" s="24">
        <f t="shared" si="22"/>
        <v>1257486.6599999999</v>
      </c>
      <c r="J50" s="24">
        <f t="shared" si="23"/>
        <v>-116433.95</v>
      </c>
      <c r="K50" s="16">
        <f t="shared" si="24"/>
        <v>11526961.050000001</v>
      </c>
      <c r="L50" s="16">
        <f t="shared" si="25"/>
        <v>12784447.710000001</v>
      </c>
      <c r="M50" s="24">
        <v>12784448</v>
      </c>
      <c r="N50" s="6">
        <f t="shared" si="26"/>
        <v>11643395.289999999</v>
      </c>
      <c r="O50" s="16">
        <f t="shared" si="29"/>
        <v>11526961.34</v>
      </c>
      <c r="P50" s="16">
        <v>0</v>
      </c>
      <c r="Q50" s="16">
        <f t="shared" si="30"/>
        <v>0</v>
      </c>
      <c r="R50" s="268">
        <f t="shared" si="4"/>
        <v>-0.28999999910593033</v>
      </c>
      <c r="S50" s="16">
        <v>0</v>
      </c>
      <c r="T50" s="34">
        <f t="shared" si="28"/>
        <v>45487</v>
      </c>
    </row>
    <row r="51" spans="2:20" s="25" customFormat="1" ht="14.25" customHeight="1" x14ac:dyDescent="0.3">
      <c r="B51" s="354"/>
      <c r="C51" s="22" t="s">
        <v>49</v>
      </c>
      <c r="D51" s="14">
        <v>45352</v>
      </c>
      <c r="E51" s="23">
        <v>45456</v>
      </c>
      <c r="F51" s="23">
        <v>45457</v>
      </c>
      <c r="G51" s="23">
        <v>45517</v>
      </c>
      <c r="H51" s="24">
        <v>10866395</v>
      </c>
      <c r="I51" s="24">
        <f t="shared" si="22"/>
        <v>1173570.6599999999</v>
      </c>
      <c r="J51" s="24">
        <f t="shared" si="23"/>
        <v>-108663.95</v>
      </c>
      <c r="K51" s="16">
        <f t="shared" si="24"/>
        <v>10757731.050000001</v>
      </c>
      <c r="L51" s="16">
        <f t="shared" si="25"/>
        <v>11931301.710000001</v>
      </c>
      <c r="M51" s="24">
        <v>11931302</v>
      </c>
      <c r="N51" s="6">
        <f t="shared" si="26"/>
        <v>10866395.289999999</v>
      </c>
      <c r="O51" s="16">
        <f t="shared" si="29"/>
        <v>10757731.34</v>
      </c>
      <c r="P51" s="16">
        <v>0</v>
      </c>
      <c r="Q51" s="16">
        <f>P51</f>
        <v>0</v>
      </c>
      <c r="R51" s="268">
        <f t="shared" si="4"/>
        <v>-0.28999999910593033</v>
      </c>
      <c r="S51" s="16">
        <v>0</v>
      </c>
      <c r="T51" s="34">
        <f t="shared" si="28"/>
        <v>45487</v>
      </c>
    </row>
    <row r="52" spans="2:20" s="25" customFormat="1" ht="14.25" customHeight="1" x14ac:dyDescent="0.3">
      <c r="B52" s="354"/>
      <c r="C52" s="22" t="s">
        <v>50</v>
      </c>
      <c r="D52" s="14">
        <v>45383</v>
      </c>
      <c r="E52" s="23">
        <v>45456</v>
      </c>
      <c r="F52" s="23">
        <v>45457</v>
      </c>
      <c r="G52" s="23">
        <v>45517</v>
      </c>
      <c r="H52" s="24">
        <v>9460395</v>
      </c>
      <c r="I52" s="24">
        <f t="shared" si="22"/>
        <v>1021722.6599999999</v>
      </c>
      <c r="J52" s="24">
        <f t="shared" si="23"/>
        <v>-94603.95</v>
      </c>
      <c r="K52" s="16">
        <f t="shared" si="24"/>
        <v>9365791.0500000007</v>
      </c>
      <c r="L52" s="16">
        <f t="shared" si="25"/>
        <v>10387513.710000001</v>
      </c>
      <c r="M52" s="24">
        <v>10387514</v>
      </c>
      <c r="N52" s="6">
        <f t="shared" si="26"/>
        <v>9460395.2899999991</v>
      </c>
      <c r="O52" s="16">
        <f t="shared" si="29"/>
        <v>9365791.3399999999</v>
      </c>
      <c r="P52" s="16">
        <v>0</v>
      </c>
      <c r="Q52" s="16">
        <f>P52</f>
        <v>0</v>
      </c>
      <c r="R52" s="268">
        <f t="shared" si="4"/>
        <v>-0.28999999910593033</v>
      </c>
      <c r="S52" s="16">
        <v>0</v>
      </c>
      <c r="T52" s="34">
        <f t="shared" si="28"/>
        <v>45487</v>
      </c>
    </row>
    <row r="53" spans="2:20" s="25" customFormat="1" ht="14.25" customHeight="1" x14ac:dyDescent="0.3">
      <c r="B53" s="354"/>
      <c r="C53" s="22" t="s">
        <v>86</v>
      </c>
      <c r="D53" s="14">
        <v>45413</v>
      </c>
      <c r="E53" s="23">
        <v>45476</v>
      </c>
      <c r="F53" s="23">
        <v>45476</v>
      </c>
      <c r="G53" s="23">
        <v>45531</v>
      </c>
      <c r="H53" s="24">
        <v>80811395</v>
      </c>
      <c r="I53" s="24">
        <f t="shared" si="22"/>
        <v>8727630.6600000001</v>
      </c>
      <c r="J53" s="24">
        <f t="shared" si="23"/>
        <v>-808113.95000000007</v>
      </c>
      <c r="K53" s="16">
        <f t="shared" si="24"/>
        <v>80003281.049999997</v>
      </c>
      <c r="L53" s="16">
        <f t="shared" si="25"/>
        <v>88730911.709999993</v>
      </c>
      <c r="M53" s="24">
        <f>11321912+77409000</f>
        <v>88730912</v>
      </c>
      <c r="N53" s="6">
        <f t="shared" si="26"/>
        <v>80811395.290000007</v>
      </c>
      <c r="O53" s="16">
        <f>+M53-I53</f>
        <v>80003281.340000004</v>
      </c>
      <c r="P53" s="16">
        <v>0</v>
      </c>
      <c r="Q53" s="16">
        <f>P53</f>
        <v>0</v>
      </c>
      <c r="R53" s="268">
        <f t="shared" si="4"/>
        <v>-0.29000000655651093</v>
      </c>
      <c r="S53" s="16">
        <v>0</v>
      </c>
      <c r="T53" s="34">
        <f t="shared" si="28"/>
        <v>45506</v>
      </c>
    </row>
    <row r="54" spans="2:20" s="25" customFormat="1" ht="14.25" customHeight="1" x14ac:dyDescent="0.3">
      <c r="B54" s="354"/>
      <c r="C54" s="22" t="s">
        <v>98</v>
      </c>
      <c r="D54" s="14">
        <v>45444</v>
      </c>
      <c r="E54" s="23">
        <v>45497</v>
      </c>
      <c r="F54" s="23">
        <v>45498</v>
      </c>
      <c r="G54" s="23">
        <v>45642</v>
      </c>
      <c r="H54" s="24">
        <v>10200395</v>
      </c>
      <c r="I54" s="24">
        <f t="shared" si="22"/>
        <v>1101642.6599999999</v>
      </c>
      <c r="J54" s="24">
        <f t="shared" si="23"/>
        <v>-102003.95</v>
      </c>
      <c r="K54" s="16">
        <f t="shared" si="24"/>
        <v>10098391.050000001</v>
      </c>
      <c r="L54" s="16">
        <f t="shared" si="25"/>
        <v>11200033.710000001</v>
      </c>
      <c r="M54" s="24">
        <v>11200034</v>
      </c>
      <c r="N54" s="6">
        <f t="shared" si="26"/>
        <v>10200395.289999999</v>
      </c>
      <c r="O54" s="16">
        <f t="shared" ref="O54:O55" si="31">+M54-I54</f>
        <v>10098391.34</v>
      </c>
      <c r="P54" s="16">
        <v>0</v>
      </c>
      <c r="Q54" s="16">
        <f>P54</f>
        <v>0</v>
      </c>
      <c r="R54" s="268">
        <f t="shared" si="4"/>
        <v>-0.28999999910593033</v>
      </c>
      <c r="S54" s="16">
        <v>0</v>
      </c>
      <c r="T54" s="34">
        <f t="shared" si="28"/>
        <v>45528</v>
      </c>
    </row>
    <row r="55" spans="2:20" s="25" customFormat="1" ht="14.25" customHeight="1" x14ac:dyDescent="0.3">
      <c r="B55" s="354"/>
      <c r="C55" s="22" t="s">
        <v>104</v>
      </c>
      <c r="D55" s="14">
        <v>45474</v>
      </c>
      <c r="E55" s="23">
        <v>45516</v>
      </c>
      <c r="F55" s="23">
        <v>45516</v>
      </c>
      <c r="G55" s="23">
        <v>45642</v>
      </c>
      <c r="H55" s="24">
        <v>10311395</v>
      </c>
      <c r="I55" s="24">
        <f t="shared" si="22"/>
        <v>1113630.6599999999</v>
      </c>
      <c r="J55" s="24">
        <f t="shared" si="23"/>
        <v>-103113.95</v>
      </c>
      <c r="K55" s="16">
        <f t="shared" si="24"/>
        <v>10208281.050000001</v>
      </c>
      <c r="L55" s="16">
        <f t="shared" si="25"/>
        <v>11321911.710000001</v>
      </c>
      <c r="M55" s="24">
        <v>11321912</v>
      </c>
      <c r="N55" s="6">
        <f t="shared" si="26"/>
        <v>10311395.289999999</v>
      </c>
      <c r="O55" s="16">
        <f t="shared" si="31"/>
        <v>10208281.34</v>
      </c>
      <c r="P55" s="16">
        <v>0</v>
      </c>
      <c r="Q55" s="16">
        <f>P55</f>
        <v>0</v>
      </c>
      <c r="R55" s="268">
        <f t="shared" si="4"/>
        <v>-0.28999999910593033</v>
      </c>
      <c r="S55" s="16">
        <v>0</v>
      </c>
      <c r="T55" s="34">
        <f t="shared" si="28"/>
        <v>45546</v>
      </c>
    </row>
    <row r="56" spans="2:20" s="25" customFormat="1" ht="14.25" customHeight="1" x14ac:dyDescent="0.3">
      <c r="B56" s="354"/>
      <c r="C56" s="22" t="s">
        <v>362</v>
      </c>
      <c r="D56" s="14">
        <v>45505</v>
      </c>
      <c r="E56" s="23">
        <v>45709</v>
      </c>
      <c r="F56" s="23">
        <v>45709</v>
      </c>
      <c r="G56" s="23"/>
      <c r="H56" s="24">
        <v>10311395</v>
      </c>
      <c r="I56" s="24">
        <f t="shared" si="22"/>
        <v>1113630.6599999999</v>
      </c>
      <c r="J56" s="24">
        <f t="shared" si="23"/>
        <v>-103113.95</v>
      </c>
      <c r="K56" s="16">
        <f t="shared" si="24"/>
        <v>10208281.050000001</v>
      </c>
      <c r="L56" s="74">
        <f t="shared" si="25"/>
        <v>11321911.710000001</v>
      </c>
      <c r="M56" s="24"/>
      <c r="N56" s="24"/>
      <c r="O56" s="24"/>
      <c r="P56" s="16">
        <f>H56+I56</f>
        <v>11425025.66</v>
      </c>
      <c r="Q56" s="16">
        <f>L56-M56</f>
        <v>11321911.710000001</v>
      </c>
      <c r="R56" s="268">
        <f>H56-N56</f>
        <v>10311395</v>
      </c>
      <c r="S56" s="16">
        <f>K56-O56</f>
        <v>10208281.050000001</v>
      </c>
      <c r="T56" s="34">
        <f t="shared" si="28"/>
        <v>45739</v>
      </c>
    </row>
    <row r="57" spans="2:20" s="25" customFormat="1" ht="14.25" customHeight="1" x14ac:dyDescent="0.3">
      <c r="B57" s="354"/>
      <c r="C57" s="22" t="s">
        <v>363</v>
      </c>
      <c r="D57" s="14">
        <v>45536</v>
      </c>
      <c r="E57" s="23">
        <v>45709</v>
      </c>
      <c r="F57" s="23">
        <v>45709</v>
      </c>
      <c r="G57" s="23"/>
      <c r="H57" s="24">
        <v>10422395</v>
      </c>
      <c r="I57" s="24">
        <f t="shared" si="22"/>
        <v>1125618.6599999999</v>
      </c>
      <c r="J57" s="24">
        <f t="shared" si="23"/>
        <v>-104223.95</v>
      </c>
      <c r="K57" s="16">
        <f t="shared" si="24"/>
        <v>10318171.050000001</v>
      </c>
      <c r="L57" s="74">
        <f t="shared" si="25"/>
        <v>11443789.710000001</v>
      </c>
      <c r="M57" s="24"/>
      <c r="N57" s="24"/>
      <c r="O57" s="24"/>
      <c r="P57" s="16">
        <f>H57+I57</f>
        <v>11548013.66</v>
      </c>
      <c r="Q57" s="16">
        <f t="shared" ref="Q57:Q64" si="32">L57-M57</f>
        <v>11443789.710000001</v>
      </c>
      <c r="R57" s="268">
        <f t="shared" si="4"/>
        <v>10422395</v>
      </c>
      <c r="S57" s="16">
        <f t="shared" ref="S57:S64" si="33">K57-O57</f>
        <v>10318171.050000001</v>
      </c>
      <c r="T57" s="34">
        <f t="shared" si="28"/>
        <v>45739</v>
      </c>
    </row>
    <row r="58" spans="2:20" s="25" customFormat="1" ht="14.25" customHeight="1" x14ac:dyDescent="0.3">
      <c r="B58" s="354"/>
      <c r="C58" s="22" t="s">
        <v>364</v>
      </c>
      <c r="D58" s="14">
        <v>45566</v>
      </c>
      <c r="E58" s="23">
        <v>45709</v>
      </c>
      <c r="F58" s="23">
        <v>45709</v>
      </c>
      <c r="G58" s="23"/>
      <c r="H58" s="24">
        <v>10940395</v>
      </c>
      <c r="I58" s="24">
        <f t="shared" si="22"/>
        <v>1181562.6599999999</v>
      </c>
      <c r="J58" s="24">
        <f t="shared" si="23"/>
        <v>-109403.95</v>
      </c>
      <c r="K58" s="16">
        <f t="shared" si="24"/>
        <v>10830991.050000001</v>
      </c>
      <c r="L58" s="74">
        <f t="shared" si="25"/>
        <v>12012553.710000001</v>
      </c>
      <c r="M58" s="24"/>
      <c r="N58" s="24"/>
      <c r="O58" s="24"/>
      <c r="P58" s="16">
        <f t="shared" ref="P58:P60" si="34">H58+I58</f>
        <v>12121957.66</v>
      </c>
      <c r="Q58" s="16">
        <f t="shared" si="32"/>
        <v>12012553.710000001</v>
      </c>
      <c r="R58" s="268">
        <f t="shared" si="4"/>
        <v>10940395</v>
      </c>
      <c r="S58" s="16">
        <f t="shared" si="33"/>
        <v>10830991.050000001</v>
      </c>
      <c r="T58" s="34">
        <f t="shared" si="28"/>
        <v>45739</v>
      </c>
    </row>
    <row r="59" spans="2:20" s="25" customFormat="1" ht="14.25" customHeight="1" x14ac:dyDescent="0.3">
      <c r="B59" s="354"/>
      <c r="C59" s="22" t="s">
        <v>365</v>
      </c>
      <c r="D59" s="14">
        <v>45597</v>
      </c>
      <c r="E59" s="23">
        <v>45709</v>
      </c>
      <c r="F59" s="23">
        <v>45709</v>
      </c>
      <c r="G59" s="23"/>
      <c r="H59" s="24">
        <v>10940395</v>
      </c>
      <c r="I59" s="24">
        <f t="shared" si="22"/>
        <v>1181562.6599999999</v>
      </c>
      <c r="J59" s="24">
        <f t="shared" si="23"/>
        <v>-109403.95</v>
      </c>
      <c r="K59" s="16">
        <f t="shared" si="24"/>
        <v>10830991.050000001</v>
      </c>
      <c r="L59" s="74">
        <f t="shared" si="25"/>
        <v>12012553.710000001</v>
      </c>
      <c r="M59" s="24"/>
      <c r="N59" s="24"/>
      <c r="O59" s="24"/>
      <c r="P59" s="16">
        <f t="shared" si="34"/>
        <v>12121957.66</v>
      </c>
      <c r="Q59" s="16">
        <f t="shared" si="32"/>
        <v>12012553.710000001</v>
      </c>
      <c r="R59" s="268">
        <f t="shared" si="4"/>
        <v>10940395</v>
      </c>
      <c r="S59" s="16">
        <f t="shared" si="33"/>
        <v>10830991.050000001</v>
      </c>
      <c r="T59" s="34">
        <f t="shared" si="28"/>
        <v>45739</v>
      </c>
    </row>
    <row r="60" spans="2:20" s="25" customFormat="1" ht="14.25" customHeight="1" x14ac:dyDescent="0.3">
      <c r="B60" s="354"/>
      <c r="C60" s="22" t="s">
        <v>366</v>
      </c>
      <c r="D60" s="14">
        <v>45627</v>
      </c>
      <c r="E60" s="23">
        <v>45709</v>
      </c>
      <c r="F60" s="23">
        <v>45709</v>
      </c>
      <c r="G60" s="23"/>
      <c r="H60" s="24">
        <v>10792395</v>
      </c>
      <c r="I60" s="24">
        <f t="shared" si="22"/>
        <v>1165578.6599999999</v>
      </c>
      <c r="J60" s="24">
        <f t="shared" si="23"/>
        <v>-107923.95</v>
      </c>
      <c r="K60" s="16">
        <f t="shared" si="24"/>
        <v>10684471.050000001</v>
      </c>
      <c r="L60" s="74">
        <f t="shared" si="25"/>
        <v>11850049.710000001</v>
      </c>
      <c r="M60" s="24"/>
      <c r="N60" s="24"/>
      <c r="O60" s="24"/>
      <c r="P60" s="16">
        <f t="shared" si="34"/>
        <v>11957973.66</v>
      </c>
      <c r="Q60" s="16">
        <f t="shared" si="32"/>
        <v>11850049.710000001</v>
      </c>
      <c r="R60" s="268">
        <f t="shared" si="4"/>
        <v>10792395</v>
      </c>
      <c r="S60" s="16">
        <f t="shared" si="33"/>
        <v>10684471.050000001</v>
      </c>
      <c r="T60" s="34">
        <f t="shared" si="28"/>
        <v>45739</v>
      </c>
    </row>
    <row r="61" spans="2:20" s="25" customFormat="1" ht="14.25" customHeight="1" x14ac:dyDescent="0.3">
      <c r="B61" s="354"/>
      <c r="C61" s="22" t="s">
        <v>371</v>
      </c>
      <c r="D61" s="14">
        <v>45658</v>
      </c>
      <c r="E61" s="23">
        <v>45712</v>
      </c>
      <c r="F61" s="23">
        <v>45713</v>
      </c>
      <c r="G61" s="23"/>
      <c r="H61" s="24">
        <v>10792395</v>
      </c>
      <c r="I61" s="24">
        <f t="shared" si="22"/>
        <v>1165578.6599999999</v>
      </c>
      <c r="J61" s="24">
        <f t="shared" si="23"/>
        <v>-107923.95</v>
      </c>
      <c r="K61" s="16">
        <f t="shared" si="24"/>
        <v>10684471.050000001</v>
      </c>
      <c r="L61" s="74">
        <f t="shared" si="25"/>
        <v>11850049.710000001</v>
      </c>
      <c r="M61" s="24"/>
      <c r="N61" s="24"/>
      <c r="O61" s="24"/>
      <c r="P61" s="16">
        <f>H61+I61</f>
        <v>11957973.66</v>
      </c>
      <c r="Q61" s="16">
        <f t="shared" si="32"/>
        <v>11850049.710000001</v>
      </c>
      <c r="R61" s="268">
        <f t="shared" si="4"/>
        <v>10792395</v>
      </c>
      <c r="S61" s="16">
        <f t="shared" si="33"/>
        <v>10684471.050000001</v>
      </c>
      <c r="T61" s="34">
        <f t="shared" si="28"/>
        <v>45743</v>
      </c>
    </row>
    <row r="62" spans="2:20" s="25" customFormat="1" ht="14.25" customHeight="1" x14ac:dyDescent="0.3">
      <c r="B62" s="354"/>
      <c r="C62" s="22" t="s">
        <v>413</v>
      </c>
      <c r="D62" s="14">
        <v>45689</v>
      </c>
      <c r="E62" s="23">
        <v>45790</v>
      </c>
      <c r="F62" s="23">
        <v>45790</v>
      </c>
      <c r="G62" s="23"/>
      <c r="H62" s="24">
        <v>11201395</v>
      </c>
      <c r="I62" s="24">
        <f t="shared" si="22"/>
        <v>1209750.6599999999</v>
      </c>
      <c r="J62" s="24">
        <f t="shared" si="23"/>
        <v>-112013.95</v>
      </c>
      <c r="K62" s="16">
        <f t="shared" si="24"/>
        <v>11089381.050000001</v>
      </c>
      <c r="L62" s="74">
        <f t="shared" si="25"/>
        <v>12299131.710000001</v>
      </c>
      <c r="M62" s="24"/>
      <c r="N62" s="24"/>
      <c r="O62" s="24"/>
      <c r="P62" s="16">
        <f>H62+I62</f>
        <v>12411145.66</v>
      </c>
      <c r="Q62" s="16">
        <f t="shared" si="32"/>
        <v>12299131.710000001</v>
      </c>
      <c r="R62" s="268">
        <f t="shared" si="4"/>
        <v>11201395</v>
      </c>
      <c r="S62" s="16">
        <f t="shared" si="33"/>
        <v>11089381.050000001</v>
      </c>
      <c r="T62" s="34">
        <f t="shared" si="28"/>
        <v>45820</v>
      </c>
    </row>
    <row r="63" spans="2:20" s="25" customFormat="1" ht="14.25" customHeight="1" x14ac:dyDescent="0.3">
      <c r="B63" s="354"/>
      <c r="C63" s="22" t="s">
        <v>414</v>
      </c>
      <c r="D63" s="14">
        <v>45717</v>
      </c>
      <c r="E63" s="23">
        <v>45790</v>
      </c>
      <c r="F63" s="23">
        <v>45790</v>
      </c>
      <c r="G63" s="23"/>
      <c r="H63" s="24">
        <v>10831395</v>
      </c>
      <c r="I63" s="24">
        <f t="shared" si="22"/>
        <v>1169790.6599999999</v>
      </c>
      <c r="J63" s="24">
        <f t="shared" si="23"/>
        <v>-108313.95</v>
      </c>
      <c r="K63" s="16">
        <f t="shared" si="24"/>
        <v>10723081.050000001</v>
      </c>
      <c r="L63" s="74">
        <f t="shared" si="25"/>
        <v>11892871.710000001</v>
      </c>
      <c r="M63" s="24"/>
      <c r="N63" s="24"/>
      <c r="O63" s="24"/>
      <c r="P63" s="16">
        <f>H63+I63</f>
        <v>12001185.66</v>
      </c>
      <c r="Q63" s="16">
        <f t="shared" si="32"/>
        <v>11892871.710000001</v>
      </c>
      <c r="R63" s="268">
        <f t="shared" si="4"/>
        <v>10831395</v>
      </c>
      <c r="S63" s="16">
        <f t="shared" si="33"/>
        <v>10723081.050000001</v>
      </c>
      <c r="T63" s="34">
        <f t="shared" si="28"/>
        <v>45820</v>
      </c>
    </row>
    <row r="64" spans="2:20" s="25" customFormat="1" ht="14.25" customHeight="1" x14ac:dyDescent="0.3">
      <c r="B64" s="354"/>
      <c r="C64" s="22" t="s">
        <v>415</v>
      </c>
      <c r="D64" s="14">
        <v>45748</v>
      </c>
      <c r="E64" s="23">
        <v>45790</v>
      </c>
      <c r="F64" s="23">
        <v>45790</v>
      </c>
      <c r="G64" s="23"/>
      <c r="H64" s="24">
        <v>9931395</v>
      </c>
      <c r="I64" s="24">
        <f t="shared" si="22"/>
        <v>1072590.6599999999</v>
      </c>
      <c r="J64" s="24">
        <f t="shared" si="23"/>
        <v>-99313.95</v>
      </c>
      <c r="K64" s="16">
        <f t="shared" si="24"/>
        <v>9832081.0500000007</v>
      </c>
      <c r="L64" s="74">
        <f t="shared" si="25"/>
        <v>10904671.710000001</v>
      </c>
      <c r="M64" s="24"/>
      <c r="N64" s="24"/>
      <c r="O64" s="24"/>
      <c r="P64" s="16">
        <f>H64+I64</f>
        <v>11003985.66</v>
      </c>
      <c r="Q64" s="16">
        <f t="shared" si="32"/>
        <v>10904671.710000001</v>
      </c>
      <c r="R64" s="268">
        <f t="shared" si="4"/>
        <v>9931395</v>
      </c>
      <c r="S64" s="16">
        <f t="shared" si="33"/>
        <v>9832081.0500000007</v>
      </c>
      <c r="T64" s="34">
        <f t="shared" si="28"/>
        <v>45820</v>
      </c>
    </row>
    <row r="65" spans="2:20" s="25" customFormat="1" ht="14.25" customHeight="1" x14ac:dyDescent="0.3">
      <c r="B65" s="354"/>
      <c r="C65" s="22"/>
      <c r="D65" s="14"/>
      <c r="E65" s="23"/>
      <c r="F65" s="23"/>
      <c r="G65" s="23"/>
      <c r="H65" s="24"/>
      <c r="I65" s="24"/>
      <c r="J65" s="24"/>
      <c r="K65" s="16"/>
      <c r="L65" s="74"/>
      <c r="M65" s="24"/>
      <c r="N65" s="24"/>
      <c r="O65" s="24"/>
      <c r="P65" s="16"/>
      <c r="Q65" s="16"/>
      <c r="R65" s="268"/>
      <c r="S65" s="16"/>
      <c r="T65" s="34"/>
    </row>
    <row r="66" spans="2:20" s="25" customFormat="1" ht="14.25" customHeight="1" x14ac:dyDescent="0.3">
      <c r="B66" s="354"/>
      <c r="C66" s="22"/>
      <c r="D66" s="14"/>
      <c r="E66" s="23"/>
      <c r="F66" s="23"/>
      <c r="G66" s="23"/>
      <c r="H66" s="24"/>
      <c r="I66" s="24"/>
      <c r="J66" s="24"/>
      <c r="K66" s="16"/>
      <c r="L66" s="16"/>
      <c r="M66" s="24"/>
      <c r="N66" s="24"/>
      <c r="O66" s="24"/>
      <c r="P66" s="16"/>
      <c r="Q66" s="16"/>
      <c r="R66" s="268">
        <f t="shared" si="4"/>
        <v>0</v>
      </c>
      <c r="S66" s="16"/>
      <c r="T66" s="34"/>
    </row>
    <row r="67" spans="2:20" s="12" customFormat="1" x14ac:dyDescent="0.3">
      <c r="B67" s="354"/>
      <c r="C67" s="353" t="s">
        <v>40</v>
      </c>
      <c r="D67" s="353"/>
      <c r="E67" s="353"/>
      <c r="F67" s="353"/>
      <c r="G67" s="353"/>
      <c r="H67" s="18">
        <f>SUM(H47:H66)</f>
        <v>322692615</v>
      </c>
      <c r="I67" s="18">
        <f t="shared" ref="I67:Q67" si="35">SUM(I47:I66)</f>
        <v>34850802.419999994</v>
      </c>
      <c r="J67" s="18">
        <f t="shared" si="35"/>
        <v>-3226926.1500000018</v>
      </c>
      <c r="K67" s="18">
        <f t="shared" si="35"/>
        <v>319465688.85000008</v>
      </c>
      <c r="L67" s="18">
        <f t="shared" si="35"/>
        <v>354316491.26999992</v>
      </c>
      <c r="M67" s="18">
        <f t="shared" si="35"/>
        <v>248728910</v>
      </c>
      <c r="N67" s="18">
        <f t="shared" si="35"/>
        <v>226529062.11999995</v>
      </c>
      <c r="O67" s="18">
        <f t="shared" si="35"/>
        <v>224263771.52000004</v>
      </c>
      <c r="P67" s="18">
        <f t="shared" si="35"/>
        <v>106549218.84999998</v>
      </c>
      <c r="Q67" s="18">
        <f t="shared" si="35"/>
        <v>105587583.30000004</v>
      </c>
      <c r="R67" s="273">
        <f>SUM(R47:R66)</f>
        <v>96163552.879999995</v>
      </c>
      <c r="S67" s="18">
        <f>SUM(S47:S66)</f>
        <v>95201919.359999999</v>
      </c>
      <c r="T67" s="73"/>
    </row>
    <row r="68" spans="2:20" s="12" customFormat="1" ht="12.75" customHeight="1" x14ac:dyDescent="0.3">
      <c r="B68" s="354" t="s">
        <v>125</v>
      </c>
      <c r="C68" s="13" t="s">
        <v>39</v>
      </c>
      <c r="D68" s="14" t="s">
        <v>41</v>
      </c>
      <c r="E68" s="15">
        <v>45422</v>
      </c>
      <c r="F68" s="15">
        <v>45439</v>
      </c>
      <c r="G68" s="15">
        <v>45476</v>
      </c>
      <c r="H68" s="16">
        <v>109800000</v>
      </c>
      <c r="I68" s="16">
        <f t="shared" ref="I68:I81" si="36">+H68*0.18*60%</f>
        <v>11858400</v>
      </c>
      <c r="J68" s="16">
        <f t="shared" ref="J68:J81" si="37">-H68*1%</f>
        <v>-1098000</v>
      </c>
      <c r="K68" s="16">
        <f t="shared" ref="K68:K81" si="38">+H68+J68</f>
        <v>108702000</v>
      </c>
      <c r="L68" s="16">
        <f t="shared" ref="L68:L81" si="39">H68+I68+J68</f>
        <v>120560400</v>
      </c>
      <c r="M68" s="16">
        <v>120560400</v>
      </c>
      <c r="N68" s="6">
        <f t="shared" ref="N68:N80" si="40">+M68-I68-J68</f>
        <v>109800000</v>
      </c>
      <c r="O68" s="16">
        <f>+M68-I68</f>
        <v>108702000</v>
      </c>
      <c r="P68" s="16">
        <f t="shared" ref="P68:P75" si="41">+L68-M68</f>
        <v>0</v>
      </c>
      <c r="Q68" s="16">
        <f>P68</f>
        <v>0</v>
      </c>
      <c r="R68" s="268">
        <f t="shared" si="4"/>
        <v>0</v>
      </c>
      <c r="S68" s="16">
        <f>Q68</f>
        <v>0</v>
      </c>
      <c r="T68" s="34">
        <f t="shared" ref="T68:T81" si="42">+F68+30</f>
        <v>45469</v>
      </c>
    </row>
    <row r="69" spans="2:20" s="12" customFormat="1" x14ac:dyDescent="0.3">
      <c r="B69" s="354"/>
      <c r="C69" s="13" t="s">
        <v>87</v>
      </c>
      <c r="D69" s="14" t="s">
        <v>42</v>
      </c>
      <c r="E69" s="15">
        <v>45475</v>
      </c>
      <c r="F69" s="15">
        <v>45477</v>
      </c>
      <c r="G69" s="15">
        <v>45513</v>
      </c>
      <c r="H69" s="16">
        <v>36150000</v>
      </c>
      <c r="I69" s="16">
        <f t="shared" si="36"/>
        <v>3904200</v>
      </c>
      <c r="J69" s="16">
        <f t="shared" si="37"/>
        <v>-361500</v>
      </c>
      <c r="K69" s="16">
        <f t="shared" si="38"/>
        <v>35788500</v>
      </c>
      <c r="L69" s="16">
        <f t="shared" si="39"/>
        <v>39692700</v>
      </c>
      <c r="M69" s="16">
        <v>39692700</v>
      </c>
      <c r="N69" s="6">
        <f t="shared" si="40"/>
        <v>36150000</v>
      </c>
      <c r="O69" s="16">
        <f t="shared" ref="O69:O80" si="43">+M69-I69</f>
        <v>35788500</v>
      </c>
      <c r="P69" s="16">
        <f t="shared" si="41"/>
        <v>0</v>
      </c>
      <c r="Q69" s="16">
        <f t="shared" ref="Q69:Q75" si="44">+P69</f>
        <v>0</v>
      </c>
      <c r="R69" s="268">
        <f t="shared" si="4"/>
        <v>0</v>
      </c>
      <c r="S69" s="16">
        <f t="shared" ref="S69:S79" si="45">Q69</f>
        <v>0</v>
      </c>
      <c r="T69" s="34">
        <f t="shared" si="42"/>
        <v>45507</v>
      </c>
    </row>
    <row r="70" spans="2:20" s="12" customFormat="1" x14ac:dyDescent="0.3">
      <c r="B70" s="354"/>
      <c r="C70" s="13" t="s">
        <v>88</v>
      </c>
      <c r="D70" s="14">
        <v>45413</v>
      </c>
      <c r="E70" s="15">
        <v>45476</v>
      </c>
      <c r="F70" s="15">
        <v>45477</v>
      </c>
      <c r="G70" s="15">
        <v>45513</v>
      </c>
      <c r="H70" s="16">
        <v>18075000</v>
      </c>
      <c r="I70" s="16">
        <f t="shared" si="36"/>
        <v>1952100</v>
      </c>
      <c r="J70" s="16">
        <f t="shared" si="37"/>
        <v>-180750</v>
      </c>
      <c r="K70" s="16">
        <f t="shared" si="38"/>
        <v>17894250</v>
      </c>
      <c r="L70" s="16">
        <f t="shared" si="39"/>
        <v>19846350</v>
      </c>
      <c r="M70" s="16">
        <v>19846350</v>
      </c>
      <c r="N70" s="6">
        <f t="shared" si="40"/>
        <v>18075000</v>
      </c>
      <c r="O70" s="16">
        <f t="shared" si="43"/>
        <v>17894250</v>
      </c>
      <c r="P70" s="16">
        <f t="shared" si="41"/>
        <v>0</v>
      </c>
      <c r="Q70" s="16">
        <f t="shared" si="44"/>
        <v>0</v>
      </c>
      <c r="R70" s="268">
        <f t="shared" si="4"/>
        <v>0</v>
      </c>
      <c r="S70" s="16">
        <f t="shared" si="45"/>
        <v>0</v>
      </c>
      <c r="T70" s="34">
        <f t="shared" si="42"/>
        <v>45507</v>
      </c>
    </row>
    <row r="71" spans="2:20" s="12" customFormat="1" x14ac:dyDescent="0.3">
      <c r="B71" s="354"/>
      <c r="C71" s="13" t="s">
        <v>89</v>
      </c>
      <c r="D71" s="14">
        <v>45444</v>
      </c>
      <c r="E71" s="15">
        <v>45481</v>
      </c>
      <c r="F71" s="15">
        <v>45482</v>
      </c>
      <c r="G71" s="15">
        <v>45513</v>
      </c>
      <c r="H71" s="16">
        <v>18225000</v>
      </c>
      <c r="I71" s="16">
        <f t="shared" si="36"/>
        <v>1968300</v>
      </c>
      <c r="J71" s="16">
        <f t="shared" si="37"/>
        <v>-182250</v>
      </c>
      <c r="K71" s="16">
        <f t="shared" si="38"/>
        <v>18042750</v>
      </c>
      <c r="L71" s="16">
        <f t="shared" si="39"/>
        <v>20011050</v>
      </c>
      <c r="M71" s="16">
        <v>20011050</v>
      </c>
      <c r="N71" s="6">
        <f t="shared" si="40"/>
        <v>18225000</v>
      </c>
      <c r="O71" s="16">
        <f t="shared" si="43"/>
        <v>18042750</v>
      </c>
      <c r="P71" s="16">
        <f t="shared" si="41"/>
        <v>0</v>
      </c>
      <c r="Q71" s="16">
        <f t="shared" si="44"/>
        <v>0</v>
      </c>
      <c r="R71" s="268">
        <f t="shared" si="4"/>
        <v>0</v>
      </c>
      <c r="S71" s="16">
        <f t="shared" si="45"/>
        <v>0</v>
      </c>
      <c r="T71" s="34">
        <f t="shared" si="42"/>
        <v>45512</v>
      </c>
    </row>
    <row r="72" spans="2:20" s="12" customFormat="1" x14ac:dyDescent="0.3">
      <c r="B72" s="354"/>
      <c r="C72" s="13" t="s">
        <v>100</v>
      </c>
      <c r="D72" s="14">
        <v>45474</v>
      </c>
      <c r="E72" s="15">
        <v>45499</v>
      </c>
      <c r="F72" s="15">
        <v>45502</v>
      </c>
      <c r="G72" s="15">
        <v>45538</v>
      </c>
      <c r="H72" s="16">
        <v>18075000</v>
      </c>
      <c r="I72" s="16">
        <f t="shared" si="36"/>
        <v>1952100</v>
      </c>
      <c r="J72" s="16">
        <f t="shared" si="37"/>
        <v>-180750</v>
      </c>
      <c r="K72" s="16">
        <f t="shared" si="38"/>
        <v>17894250</v>
      </c>
      <c r="L72" s="16">
        <f t="shared" si="39"/>
        <v>19846350</v>
      </c>
      <c r="M72" s="16">
        <v>19846350</v>
      </c>
      <c r="N72" s="6">
        <f t="shared" si="40"/>
        <v>18075000</v>
      </c>
      <c r="O72" s="16">
        <f t="shared" si="43"/>
        <v>17894250</v>
      </c>
      <c r="P72" s="16">
        <f t="shared" si="41"/>
        <v>0</v>
      </c>
      <c r="Q72" s="16">
        <f t="shared" si="44"/>
        <v>0</v>
      </c>
      <c r="R72" s="268">
        <f t="shared" si="4"/>
        <v>0</v>
      </c>
      <c r="S72" s="16">
        <f t="shared" si="45"/>
        <v>0</v>
      </c>
      <c r="T72" s="34">
        <f t="shared" si="42"/>
        <v>45532</v>
      </c>
    </row>
    <row r="73" spans="2:20" s="12" customFormat="1" x14ac:dyDescent="0.3">
      <c r="B73" s="354"/>
      <c r="C73" s="13" t="s">
        <v>110</v>
      </c>
      <c r="D73" s="14">
        <v>45505</v>
      </c>
      <c r="E73" s="15">
        <v>45534</v>
      </c>
      <c r="F73" s="15">
        <v>45537</v>
      </c>
      <c r="G73" s="15">
        <v>45559</v>
      </c>
      <c r="H73" s="16">
        <v>18225000</v>
      </c>
      <c r="I73" s="16">
        <f t="shared" si="36"/>
        <v>1968300</v>
      </c>
      <c r="J73" s="16">
        <f t="shared" si="37"/>
        <v>-182250</v>
      </c>
      <c r="K73" s="16">
        <f t="shared" si="38"/>
        <v>18042750</v>
      </c>
      <c r="L73" s="16">
        <f t="shared" si="39"/>
        <v>20011050</v>
      </c>
      <c r="M73" s="16">
        <v>20011050</v>
      </c>
      <c r="N73" s="6">
        <f t="shared" si="40"/>
        <v>18225000</v>
      </c>
      <c r="O73" s="16">
        <f t="shared" si="43"/>
        <v>18042750</v>
      </c>
      <c r="P73" s="16">
        <f t="shared" si="41"/>
        <v>0</v>
      </c>
      <c r="Q73" s="16">
        <f t="shared" si="44"/>
        <v>0</v>
      </c>
      <c r="R73" s="268">
        <f t="shared" si="4"/>
        <v>0</v>
      </c>
      <c r="S73" s="16">
        <f t="shared" si="45"/>
        <v>0</v>
      </c>
      <c r="T73" s="34">
        <f t="shared" si="42"/>
        <v>45567</v>
      </c>
    </row>
    <row r="74" spans="2:20" s="12" customFormat="1" x14ac:dyDescent="0.3">
      <c r="B74" s="354"/>
      <c r="C74" s="13" t="s">
        <v>126</v>
      </c>
      <c r="D74" s="14">
        <v>45536</v>
      </c>
      <c r="E74" s="15">
        <v>45567</v>
      </c>
      <c r="F74" s="15">
        <v>45568</v>
      </c>
      <c r="G74" s="15">
        <v>45618</v>
      </c>
      <c r="H74" s="16">
        <v>18075000</v>
      </c>
      <c r="I74" s="16">
        <f t="shared" si="36"/>
        <v>1952100</v>
      </c>
      <c r="J74" s="16">
        <f t="shared" si="37"/>
        <v>-180750</v>
      </c>
      <c r="K74" s="16">
        <f t="shared" si="38"/>
        <v>17894250</v>
      </c>
      <c r="L74" s="16">
        <f t="shared" si="39"/>
        <v>19846350</v>
      </c>
      <c r="M74" s="16">
        <v>19846350</v>
      </c>
      <c r="N74" s="16">
        <f t="shared" si="40"/>
        <v>18075000</v>
      </c>
      <c r="O74" s="16">
        <f t="shared" si="43"/>
        <v>17894250</v>
      </c>
      <c r="P74" s="16">
        <f t="shared" si="41"/>
        <v>0</v>
      </c>
      <c r="Q74" s="16">
        <f t="shared" si="44"/>
        <v>0</v>
      </c>
      <c r="R74" s="268">
        <f t="shared" si="4"/>
        <v>0</v>
      </c>
      <c r="S74" s="16">
        <f t="shared" si="45"/>
        <v>0</v>
      </c>
      <c r="T74" s="34">
        <f t="shared" si="42"/>
        <v>45598</v>
      </c>
    </row>
    <row r="75" spans="2:20" s="12" customFormat="1" x14ac:dyDescent="0.3">
      <c r="B75" s="354"/>
      <c r="C75" s="13" t="s">
        <v>185</v>
      </c>
      <c r="D75" s="14">
        <v>45566</v>
      </c>
      <c r="E75" s="15">
        <v>45604</v>
      </c>
      <c r="F75" s="15">
        <v>45607</v>
      </c>
      <c r="G75" s="15">
        <v>45632</v>
      </c>
      <c r="H75" s="16">
        <v>18075000</v>
      </c>
      <c r="I75" s="16">
        <f t="shared" si="36"/>
        <v>1952100</v>
      </c>
      <c r="J75" s="16">
        <f t="shared" si="37"/>
        <v>-180750</v>
      </c>
      <c r="K75" s="16">
        <f t="shared" si="38"/>
        <v>17894250</v>
      </c>
      <c r="L75" s="16">
        <f t="shared" si="39"/>
        <v>19846350</v>
      </c>
      <c r="M75" s="16">
        <v>19846350</v>
      </c>
      <c r="N75" s="16">
        <f t="shared" si="40"/>
        <v>18075000</v>
      </c>
      <c r="O75" s="16">
        <f t="shared" si="43"/>
        <v>17894250</v>
      </c>
      <c r="P75" s="16">
        <f t="shared" si="41"/>
        <v>0</v>
      </c>
      <c r="Q75" s="16">
        <f t="shared" si="44"/>
        <v>0</v>
      </c>
      <c r="R75" s="268">
        <f t="shared" si="4"/>
        <v>0</v>
      </c>
      <c r="S75" s="16">
        <f t="shared" si="45"/>
        <v>0</v>
      </c>
      <c r="T75" s="34">
        <f t="shared" si="42"/>
        <v>45637</v>
      </c>
    </row>
    <row r="76" spans="2:20" s="12" customFormat="1" x14ac:dyDescent="0.3">
      <c r="B76" s="354"/>
      <c r="C76" s="13" t="s">
        <v>198</v>
      </c>
      <c r="D76" s="14">
        <v>45597</v>
      </c>
      <c r="E76" s="15">
        <v>45639</v>
      </c>
      <c r="F76" s="15">
        <v>45642</v>
      </c>
      <c r="G76" s="15">
        <v>45664</v>
      </c>
      <c r="H76" s="16">
        <v>18225000</v>
      </c>
      <c r="I76" s="16">
        <f t="shared" si="36"/>
        <v>1968300</v>
      </c>
      <c r="J76" s="16">
        <f t="shared" si="37"/>
        <v>-182250</v>
      </c>
      <c r="K76" s="16">
        <f t="shared" si="38"/>
        <v>18042750</v>
      </c>
      <c r="L76" s="16">
        <f t="shared" si="39"/>
        <v>20011050</v>
      </c>
      <c r="M76" s="16">
        <v>20011050</v>
      </c>
      <c r="N76" s="16">
        <f t="shared" si="40"/>
        <v>18225000</v>
      </c>
      <c r="O76" s="16">
        <f t="shared" si="43"/>
        <v>18042750</v>
      </c>
      <c r="P76" s="16">
        <f>+L76-M76</f>
        <v>0</v>
      </c>
      <c r="Q76" s="16">
        <f>+P76</f>
        <v>0</v>
      </c>
      <c r="R76" s="268">
        <f t="shared" si="4"/>
        <v>0</v>
      </c>
      <c r="S76" s="16">
        <f t="shared" si="45"/>
        <v>0</v>
      </c>
      <c r="T76" s="34">
        <f t="shared" si="42"/>
        <v>45672</v>
      </c>
    </row>
    <row r="77" spans="2:20" s="12" customFormat="1" x14ac:dyDescent="0.3">
      <c r="B77" s="354"/>
      <c r="C77" s="13" t="s">
        <v>217</v>
      </c>
      <c r="D77" s="14">
        <v>45627</v>
      </c>
      <c r="E77" s="15">
        <v>45672</v>
      </c>
      <c r="F77" s="15">
        <v>45680</v>
      </c>
      <c r="G77" s="15">
        <v>45702</v>
      </c>
      <c r="H77" s="16">
        <v>18075000</v>
      </c>
      <c r="I77" s="16">
        <f t="shared" si="36"/>
        <v>1952100</v>
      </c>
      <c r="J77" s="16">
        <f t="shared" si="37"/>
        <v>-180750</v>
      </c>
      <c r="K77" s="16">
        <f t="shared" si="38"/>
        <v>17894250</v>
      </c>
      <c r="L77" s="16">
        <f t="shared" si="39"/>
        <v>19846350</v>
      </c>
      <c r="M77" s="16">
        <v>19846350</v>
      </c>
      <c r="N77" s="16">
        <f t="shared" si="40"/>
        <v>18075000</v>
      </c>
      <c r="O77" s="16">
        <f t="shared" si="43"/>
        <v>17894250</v>
      </c>
      <c r="P77" s="16">
        <f>+L77-M77</f>
        <v>0</v>
      </c>
      <c r="Q77" s="16">
        <f>+P77</f>
        <v>0</v>
      </c>
      <c r="R77" s="268">
        <f t="shared" si="4"/>
        <v>0</v>
      </c>
      <c r="S77" s="16">
        <f t="shared" si="45"/>
        <v>0</v>
      </c>
      <c r="T77" s="34">
        <f t="shared" si="42"/>
        <v>45710</v>
      </c>
    </row>
    <row r="78" spans="2:20" s="12" customFormat="1" x14ac:dyDescent="0.3">
      <c r="B78" s="354"/>
      <c r="C78" s="13" t="s">
        <v>341</v>
      </c>
      <c r="D78" s="14">
        <v>45658</v>
      </c>
      <c r="E78" s="15">
        <v>45700</v>
      </c>
      <c r="F78" s="15">
        <v>45702</v>
      </c>
      <c r="G78" s="15">
        <v>45723</v>
      </c>
      <c r="H78" s="16">
        <v>18075000</v>
      </c>
      <c r="I78" s="16">
        <f t="shared" si="36"/>
        <v>1952100</v>
      </c>
      <c r="J78" s="16">
        <f t="shared" si="37"/>
        <v>-180750</v>
      </c>
      <c r="K78" s="16">
        <f t="shared" si="38"/>
        <v>17894250</v>
      </c>
      <c r="L78" s="16">
        <f t="shared" si="39"/>
        <v>19846350</v>
      </c>
      <c r="M78" s="16">
        <v>19846350</v>
      </c>
      <c r="N78" s="16">
        <f t="shared" si="40"/>
        <v>18075000</v>
      </c>
      <c r="O78" s="16">
        <f t="shared" si="43"/>
        <v>17894250</v>
      </c>
      <c r="P78" s="16">
        <f>+L78-M78</f>
        <v>0</v>
      </c>
      <c r="Q78" s="16">
        <f>+P78</f>
        <v>0</v>
      </c>
      <c r="R78" s="268">
        <f t="shared" si="4"/>
        <v>0</v>
      </c>
      <c r="S78" s="16">
        <f t="shared" si="45"/>
        <v>0</v>
      </c>
      <c r="T78" s="34">
        <f t="shared" si="42"/>
        <v>45732</v>
      </c>
    </row>
    <row r="79" spans="2:20" s="12" customFormat="1" x14ac:dyDescent="0.3">
      <c r="B79" s="354"/>
      <c r="C79" s="13" t="s">
        <v>396</v>
      </c>
      <c r="D79" s="14">
        <v>45689</v>
      </c>
      <c r="E79" s="15">
        <v>45737</v>
      </c>
      <c r="F79" s="15">
        <v>45740</v>
      </c>
      <c r="G79" s="15">
        <v>45765</v>
      </c>
      <c r="H79" s="16">
        <v>18225000</v>
      </c>
      <c r="I79" s="16">
        <f t="shared" si="36"/>
        <v>1968300</v>
      </c>
      <c r="J79" s="16">
        <f t="shared" si="37"/>
        <v>-182250</v>
      </c>
      <c r="K79" s="16">
        <f t="shared" si="38"/>
        <v>18042750</v>
      </c>
      <c r="L79" s="16">
        <f t="shared" si="39"/>
        <v>20011050</v>
      </c>
      <c r="M79" s="16">
        <v>20011050</v>
      </c>
      <c r="N79" s="16">
        <f t="shared" si="40"/>
        <v>18225000</v>
      </c>
      <c r="O79" s="16">
        <f t="shared" si="43"/>
        <v>18042750</v>
      </c>
      <c r="P79" s="16">
        <f>+L79-M79</f>
        <v>0</v>
      </c>
      <c r="Q79" s="16">
        <f>+P79</f>
        <v>0</v>
      </c>
      <c r="R79" s="268">
        <f>H79-N79</f>
        <v>0</v>
      </c>
      <c r="S79" s="16">
        <f t="shared" si="45"/>
        <v>0</v>
      </c>
      <c r="T79" s="34">
        <f t="shared" si="42"/>
        <v>45770</v>
      </c>
    </row>
    <row r="80" spans="2:20" s="12" customFormat="1" x14ac:dyDescent="0.3">
      <c r="B80" s="354"/>
      <c r="C80" s="13" t="s">
        <v>398</v>
      </c>
      <c r="D80" s="14">
        <v>45717</v>
      </c>
      <c r="E80" s="15">
        <v>45764</v>
      </c>
      <c r="F80" s="15">
        <v>45765</v>
      </c>
      <c r="G80" s="15">
        <v>45805</v>
      </c>
      <c r="H80" s="16">
        <v>18225000</v>
      </c>
      <c r="I80" s="16">
        <f t="shared" si="36"/>
        <v>1968300</v>
      </c>
      <c r="J80" s="16">
        <f t="shared" si="37"/>
        <v>-182250</v>
      </c>
      <c r="K80" s="16">
        <f t="shared" si="38"/>
        <v>18042750</v>
      </c>
      <c r="L80" s="16">
        <f t="shared" si="39"/>
        <v>20011050</v>
      </c>
      <c r="M80" s="16">
        <v>20011050</v>
      </c>
      <c r="N80" s="16">
        <f t="shared" si="40"/>
        <v>18225000</v>
      </c>
      <c r="O80" s="16">
        <f t="shared" si="43"/>
        <v>18042750</v>
      </c>
      <c r="P80" s="16">
        <f>+L80-M80</f>
        <v>0</v>
      </c>
      <c r="Q80" s="16">
        <f>L80-M80</f>
        <v>0</v>
      </c>
      <c r="R80" s="268">
        <f t="shared" ref="R80:R81" si="46">H80-N80</f>
        <v>0</v>
      </c>
      <c r="S80" s="16">
        <f t="shared" ref="S80:S81" si="47">K80-O80</f>
        <v>0</v>
      </c>
      <c r="T80" s="34">
        <f t="shared" si="42"/>
        <v>45795</v>
      </c>
    </row>
    <row r="81" spans="2:20" s="12" customFormat="1" x14ac:dyDescent="0.3">
      <c r="B81" s="354"/>
      <c r="C81" s="13" t="s">
        <v>419</v>
      </c>
      <c r="D81" s="14">
        <v>45748</v>
      </c>
      <c r="E81" s="15">
        <v>45797</v>
      </c>
      <c r="F81" s="15">
        <v>45804</v>
      </c>
      <c r="G81" s="15"/>
      <c r="H81" s="16">
        <v>15825000</v>
      </c>
      <c r="I81" s="16">
        <f t="shared" si="36"/>
        <v>1709100</v>
      </c>
      <c r="J81" s="16">
        <f t="shared" si="37"/>
        <v>-158250</v>
      </c>
      <c r="K81" s="16">
        <f t="shared" si="38"/>
        <v>15666750</v>
      </c>
      <c r="L81" s="16">
        <f t="shared" si="39"/>
        <v>17375850</v>
      </c>
      <c r="M81" s="16"/>
      <c r="N81" s="16"/>
      <c r="O81" s="16"/>
      <c r="P81" s="16">
        <f>H81+I81</f>
        <v>17534100</v>
      </c>
      <c r="Q81" s="16">
        <f>L81-M81</f>
        <v>17375850</v>
      </c>
      <c r="R81" s="268">
        <f t="shared" si="46"/>
        <v>15825000</v>
      </c>
      <c r="S81" s="16">
        <f t="shared" si="47"/>
        <v>15666750</v>
      </c>
      <c r="T81" s="34">
        <f t="shared" si="42"/>
        <v>45834</v>
      </c>
    </row>
    <row r="82" spans="2:20" s="12" customFormat="1" x14ac:dyDescent="0.3">
      <c r="B82" s="354"/>
      <c r="C82" s="13"/>
      <c r="D82" s="14"/>
      <c r="E82" s="15"/>
      <c r="F82" s="15"/>
      <c r="G82" s="15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268"/>
      <c r="S82" s="16">
        <f>Q82</f>
        <v>0</v>
      </c>
      <c r="T82" s="34"/>
    </row>
    <row r="83" spans="2:20" s="12" customFormat="1" x14ac:dyDescent="0.3">
      <c r="B83" s="354"/>
      <c r="C83" s="13"/>
      <c r="D83" s="14"/>
      <c r="E83" s="15"/>
      <c r="F83" s="15"/>
      <c r="G83" s="15"/>
      <c r="H83" s="16"/>
      <c r="I83" s="16"/>
      <c r="J83" s="16"/>
      <c r="K83" s="16"/>
      <c r="L83" s="16"/>
      <c r="M83" s="16"/>
      <c r="N83" s="16"/>
      <c r="O83" s="16"/>
      <c r="P83" s="16"/>
      <c r="Q83" s="16">
        <f>+P83</f>
        <v>0</v>
      </c>
      <c r="R83" s="268">
        <f t="shared" si="4"/>
        <v>0</v>
      </c>
      <c r="S83" s="16"/>
      <c r="T83" s="34"/>
    </row>
    <row r="84" spans="2:20" s="12" customFormat="1" x14ac:dyDescent="0.3">
      <c r="B84" s="354"/>
      <c r="C84" s="353" t="s">
        <v>134</v>
      </c>
      <c r="D84" s="353"/>
      <c r="E84" s="353"/>
      <c r="F84" s="353"/>
      <c r="G84" s="353"/>
      <c r="H84" s="18">
        <f t="shared" ref="H84:S84" si="48">SUM(H68:H83)</f>
        <v>361350000</v>
      </c>
      <c r="I84" s="18">
        <f t="shared" si="48"/>
        <v>39025800</v>
      </c>
      <c r="J84" s="18">
        <f t="shared" si="48"/>
        <v>-3613500</v>
      </c>
      <c r="K84" s="18">
        <f t="shared" si="48"/>
        <v>357736500</v>
      </c>
      <c r="L84" s="18">
        <f t="shared" si="48"/>
        <v>396762300</v>
      </c>
      <c r="M84" s="18">
        <f t="shared" si="48"/>
        <v>379386450</v>
      </c>
      <c r="N84" s="18">
        <f t="shared" si="48"/>
        <v>345525000</v>
      </c>
      <c r="O84" s="18">
        <f t="shared" si="48"/>
        <v>342069750</v>
      </c>
      <c r="P84" s="18">
        <f t="shared" si="48"/>
        <v>17534100</v>
      </c>
      <c r="Q84" s="18">
        <f>SUM(Q68:Q83)</f>
        <v>17375850</v>
      </c>
      <c r="R84" s="273">
        <f>SUM(R68:R83)</f>
        <v>15825000</v>
      </c>
      <c r="S84" s="18">
        <f t="shared" si="48"/>
        <v>15666750</v>
      </c>
      <c r="T84" s="73"/>
    </row>
    <row r="85" spans="2:20" s="12" customFormat="1" x14ac:dyDescent="0.3">
      <c r="B85" s="354" t="s">
        <v>133</v>
      </c>
      <c r="C85" s="13" t="s">
        <v>136</v>
      </c>
      <c r="D85" s="14" t="s">
        <v>41</v>
      </c>
      <c r="E85" s="15">
        <v>45574</v>
      </c>
      <c r="F85" s="15">
        <v>45574</v>
      </c>
      <c r="G85" s="15">
        <v>45603</v>
      </c>
      <c r="H85" s="16">
        <v>66600000</v>
      </c>
      <c r="I85" s="16">
        <f t="shared" ref="I85:I93" si="49">+H85*0.18*60%</f>
        <v>7192800</v>
      </c>
      <c r="J85" s="16">
        <f t="shared" ref="J85:J93" si="50">-H85*1%</f>
        <v>-666000</v>
      </c>
      <c r="K85" s="16">
        <f t="shared" ref="K85:K93" si="51">+H85+J85</f>
        <v>65934000</v>
      </c>
      <c r="L85" s="16">
        <f t="shared" ref="L85:L93" si="52">H85+I85+J85</f>
        <v>73126800</v>
      </c>
      <c r="M85" s="16">
        <v>73126800</v>
      </c>
      <c r="N85" s="16">
        <f t="shared" ref="N85:N92" si="53">+M85-I85-J85</f>
        <v>66600000</v>
      </c>
      <c r="O85" s="16">
        <f t="shared" ref="O85:O92" si="54">+M85-I85</f>
        <v>65934000</v>
      </c>
      <c r="P85" s="16">
        <f t="shared" ref="P85:P90" si="55">+L85-M85</f>
        <v>0</v>
      </c>
      <c r="Q85" s="16">
        <f t="shared" ref="Q85:Q91" si="56">+P85</f>
        <v>0</v>
      </c>
      <c r="R85" s="268">
        <f t="shared" si="4"/>
        <v>0</v>
      </c>
      <c r="S85" s="16">
        <f>+Q85</f>
        <v>0</v>
      </c>
      <c r="T85" s="34">
        <f t="shared" ref="T85:T93" si="57">+F85+30</f>
        <v>45604</v>
      </c>
    </row>
    <row r="86" spans="2:20" s="12" customFormat="1" x14ac:dyDescent="0.3">
      <c r="B86" s="354"/>
      <c r="C86" s="13" t="s">
        <v>137</v>
      </c>
      <c r="D86" s="14" t="s">
        <v>138</v>
      </c>
      <c r="E86" s="15">
        <v>45574</v>
      </c>
      <c r="F86" s="15">
        <v>45574</v>
      </c>
      <c r="G86" s="15">
        <v>45618</v>
      </c>
      <c r="H86" s="16">
        <v>76615500</v>
      </c>
      <c r="I86" s="16">
        <f t="shared" si="49"/>
        <v>8274474</v>
      </c>
      <c r="J86" s="16">
        <f t="shared" si="50"/>
        <v>-766155</v>
      </c>
      <c r="K86" s="16">
        <f t="shared" si="51"/>
        <v>75849345</v>
      </c>
      <c r="L86" s="16">
        <f t="shared" si="52"/>
        <v>84123819</v>
      </c>
      <c r="M86" s="16">
        <v>84123819</v>
      </c>
      <c r="N86" s="16">
        <f t="shared" si="53"/>
        <v>76615500</v>
      </c>
      <c r="O86" s="70">
        <f t="shared" si="54"/>
        <v>75849345</v>
      </c>
      <c r="P86" s="16">
        <f t="shared" si="55"/>
        <v>0</v>
      </c>
      <c r="Q86" s="16">
        <f t="shared" si="56"/>
        <v>0</v>
      </c>
      <c r="R86" s="268">
        <f t="shared" si="4"/>
        <v>0</v>
      </c>
      <c r="S86" s="16">
        <f>+Q86</f>
        <v>0</v>
      </c>
      <c r="T86" s="34">
        <f t="shared" si="57"/>
        <v>45604</v>
      </c>
    </row>
    <row r="87" spans="2:20" s="12" customFormat="1" x14ac:dyDescent="0.3">
      <c r="B87" s="354"/>
      <c r="C87" s="13" t="s">
        <v>186</v>
      </c>
      <c r="D87" s="14">
        <v>45566</v>
      </c>
      <c r="E87" s="15">
        <v>45604</v>
      </c>
      <c r="F87" s="15">
        <v>45607</v>
      </c>
      <c r="G87" s="15">
        <v>45632</v>
      </c>
      <c r="H87" s="16">
        <v>12640500</v>
      </c>
      <c r="I87" s="16">
        <f t="shared" si="49"/>
        <v>1365174</v>
      </c>
      <c r="J87" s="16">
        <f t="shared" si="50"/>
        <v>-126405</v>
      </c>
      <c r="K87" s="16">
        <f t="shared" si="51"/>
        <v>12514095</v>
      </c>
      <c r="L87" s="16">
        <f t="shared" si="52"/>
        <v>13879269</v>
      </c>
      <c r="M87" s="16">
        <v>13879269</v>
      </c>
      <c r="N87" s="16">
        <f t="shared" si="53"/>
        <v>12640500</v>
      </c>
      <c r="O87" s="70">
        <f t="shared" si="54"/>
        <v>12514095</v>
      </c>
      <c r="P87" s="16">
        <f t="shared" si="55"/>
        <v>0</v>
      </c>
      <c r="Q87" s="16">
        <f t="shared" si="56"/>
        <v>0</v>
      </c>
      <c r="R87" s="268">
        <f t="shared" si="4"/>
        <v>0</v>
      </c>
      <c r="S87" s="16">
        <f>+Q87</f>
        <v>0</v>
      </c>
      <c r="T87" s="34">
        <f t="shared" si="57"/>
        <v>45637</v>
      </c>
    </row>
    <row r="88" spans="2:20" s="12" customFormat="1" x14ac:dyDescent="0.3">
      <c r="B88" s="354"/>
      <c r="C88" s="13" t="s">
        <v>199</v>
      </c>
      <c r="D88" s="14">
        <v>45597</v>
      </c>
      <c r="E88" s="15">
        <v>45639</v>
      </c>
      <c r="F88" s="15">
        <v>45642</v>
      </c>
      <c r="G88" s="15">
        <v>45679</v>
      </c>
      <c r="H88" s="16">
        <v>12790500</v>
      </c>
      <c r="I88" s="16">
        <f t="shared" si="49"/>
        <v>1381374</v>
      </c>
      <c r="J88" s="16">
        <f t="shared" si="50"/>
        <v>-127905</v>
      </c>
      <c r="K88" s="16">
        <f t="shared" si="51"/>
        <v>12662595</v>
      </c>
      <c r="L88" s="16">
        <f t="shared" si="52"/>
        <v>14043969</v>
      </c>
      <c r="M88" s="16">
        <v>14043969</v>
      </c>
      <c r="N88" s="16">
        <f t="shared" si="53"/>
        <v>12790500</v>
      </c>
      <c r="O88" s="70">
        <f t="shared" si="54"/>
        <v>12662595</v>
      </c>
      <c r="P88" s="16">
        <f t="shared" si="55"/>
        <v>0</v>
      </c>
      <c r="Q88" s="16">
        <f t="shared" si="56"/>
        <v>0</v>
      </c>
      <c r="R88" s="268">
        <f t="shared" si="4"/>
        <v>0</v>
      </c>
      <c r="S88" s="16">
        <f>+Q88</f>
        <v>0</v>
      </c>
      <c r="T88" s="34">
        <f t="shared" si="57"/>
        <v>45672</v>
      </c>
    </row>
    <row r="89" spans="2:20" s="12" customFormat="1" x14ac:dyDescent="0.3">
      <c r="B89" s="354"/>
      <c r="C89" s="13" t="s">
        <v>218</v>
      </c>
      <c r="D89" s="14">
        <v>45627</v>
      </c>
      <c r="E89" s="15">
        <v>45672</v>
      </c>
      <c r="F89" s="15">
        <v>45680</v>
      </c>
      <c r="G89" s="15">
        <v>45702</v>
      </c>
      <c r="H89" s="16">
        <v>12640500</v>
      </c>
      <c r="I89" s="16">
        <f t="shared" si="49"/>
        <v>1365174</v>
      </c>
      <c r="J89" s="16">
        <f t="shared" si="50"/>
        <v>-126405</v>
      </c>
      <c r="K89" s="16">
        <f t="shared" si="51"/>
        <v>12514095</v>
      </c>
      <c r="L89" s="16">
        <f t="shared" si="52"/>
        <v>13879269</v>
      </c>
      <c r="M89" s="16">
        <v>13879269</v>
      </c>
      <c r="N89" s="16">
        <f t="shared" si="53"/>
        <v>12640500</v>
      </c>
      <c r="O89" s="16">
        <f t="shared" si="54"/>
        <v>12514095</v>
      </c>
      <c r="P89" s="16">
        <f t="shared" si="55"/>
        <v>0</v>
      </c>
      <c r="Q89" s="16">
        <f t="shared" si="56"/>
        <v>0</v>
      </c>
      <c r="R89" s="268">
        <f t="shared" ref="R89:R116" si="58">H89-N89</f>
        <v>0</v>
      </c>
      <c r="S89" s="16">
        <f t="shared" ref="S89:S91" si="59">+Q89</f>
        <v>0</v>
      </c>
      <c r="T89" s="34">
        <f t="shared" si="57"/>
        <v>45710</v>
      </c>
    </row>
    <row r="90" spans="2:20" s="12" customFormat="1" x14ac:dyDescent="0.3">
      <c r="B90" s="354"/>
      <c r="C90" s="13" t="s">
        <v>342</v>
      </c>
      <c r="D90" s="14">
        <v>45658</v>
      </c>
      <c r="E90" s="15">
        <v>45700</v>
      </c>
      <c r="F90" s="15">
        <v>45702</v>
      </c>
      <c r="G90" s="15">
        <v>45723</v>
      </c>
      <c r="H90" s="16">
        <v>12640500</v>
      </c>
      <c r="I90" s="16">
        <f t="shared" si="49"/>
        <v>1365174</v>
      </c>
      <c r="J90" s="16">
        <f t="shared" si="50"/>
        <v>-126405</v>
      </c>
      <c r="K90" s="16">
        <f t="shared" si="51"/>
        <v>12514095</v>
      </c>
      <c r="L90" s="16">
        <f t="shared" si="52"/>
        <v>13879269</v>
      </c>
      <c r="M90" s="16">
        <v>13879269</v>
      </c>
      <c r="N90" s="16">
        <f t="shared" si="53"/>
        <v>12640500</v>
      </c>
      <c r="O90" s="16">
        <f t="shared" si="54"/>
        <v>12514095</v>
      </c>
      <c r="P90" s="16">
        <f t="shared" si="55"/>
        <v>0</v>
      </c>
      <c r="Q90" s="16">
        <f t="shared" si="56"/>
        <v>0</v>
      </c>
      <c r="R90" s="268">
        <f t="shared" si="58"/>
        <v>0</v>
      </c>
      <c r="S90" s="16">
        <f t="shared" si="59"/>
        <v>0</v>
      </c>
      <c r="T90" s="34">
        <f t="shared" si="57"/>
        <v>45732</v>
      </c>
    </row>
    <row r="91" spans="2:20" s="12" customFormat="1" x14ac:dyDescent="0.3">
      <c r="B91" s="354"/>
      <c r="C91" s="13" t="s">
        <v>395</v>
      </c>
      <c r="D91" s="14">
        <v>45689</v>
      </c>
      <c r="E91" s="15">
        <v>45737</v>
      </c>
      <c r="F91" s="15">
        <v>45740</v>
      </c>
      <c r="G91" s="15">
        <v>45765</v>
      </c>
      <c r="H91" s="16">
        <v>10540500</v>
      </c>
      <c r="I91" s="16">
        <f t="shared" si="49"/>
        <v>1138374</v>
      </c>
      <c r="J91" s="16">
        <f t="shared" si="50"/>
        <v>-105405</v>
      </c>
      <c r="K91" s="16">
        <f t="shared" si="51"/>
        <v>10435095</v>
      </c>
      <c r="L91" s="16">
        <f t="shared" si="52"/>
        <v>11573469</v>
      </c>
      <c r="M91" s="16">
        <v>11573469</v>
      </c>
      <c r="N91" s="16">
        <f t="shared" si="53"/>
        <v>10540500</v>
      </c>
      <c r="O91" s="16">
        <f t="shared" si="54"/>
        <v>10435095</v>
      </c>
      <c r="P91" s="16">
        <f>+L91-M91</f>
        <v>0</v>
      </c>
      <c r="Q91" s="16">
        <f t="shared" si="56"/>
        <v>0</v>
      </c>
      <c r="R91" s="268">
        <f>H91-N91</f>
        <v>0</v>
      </c>
      <c r="S91" s="16">
        <f t="shared" si="59"/>
        <v>0</v>
      </c>
      <c r="T91" s="34">
        <f t="shared" si="57"/>
        <v>45770</v>
      </c>
    </row>
    <row r="92" spans="2:20" s="12" customFormat="1" x14ac:dyDescent="0.3">
      <c r="B92" s="354"/>
      <c r="C92" s="13" t="s">
        <v>399</v>
      </c>
      <c r="D92" s="14">
        <v>45717</v>
      </c>
      <c r="E92" s="15">
        <v>45764</v>
      </c>
      <c r="F92" s="15">
        <v>45765</v>
      </c>
      <c r="G92" s="15">
        <v>45805</v>
      </c>
      <c r="H92" s="16">
        <v>10390500</v>
      </c>
      <c r="I92" s="16">
        <f t="shared" si="49"/>
        <v>1122174</v>
      </c>
      <c r="J92" s="16">
        <f t="shared" si="50"/>
        <v>-103905</v>
      </c>
      <c r="K92" s="16">
        <f t="shared" si="51"/>
        <v>10286595</v>
      </c>
      <c r="L92" s="16">
        <f t="shared" si="52"/>
        <v>11408769</v>
      </c>
      <c r="M92" s="16">
        <v>11408769</v>
      </c>
      <c r="N92" s="16">
        <f t="shared" si="53"/>
        <v>10390500</v>
      </c>
      <c r="O92" s="16">
        <f t="shared" si="54"/>
        <v>10286595</v>
      </c>
      <c r="P92" s="16">
        <f>+L92-M92</f>
        <v>0</v>
      </c>
      <c r="Q92" s="16">
        <f>L92-M92</f>
        <v>0</v>
      </c>
      <c r="R92" s="268">
        <f t="shared" ref="R92:R93" si="60">H92-N92</f>
        <v>0</v>
      </c>
      <c r="S92" s="16">
        <f t="shared" ref="S92:S93" si="61">K92-O92</f>
        <v>0</v>
      </c>
      <c r="T92" s="34">
        <f t="shared" si="57"/>
        <v>45795</v>
      </c>
    </row>
    <row r="93" spans="2:20" s="12" customFormat="1" x14ac:dyDescent="0.3">
      <c r="B93" s="354"/>
      <c r="C93" s="13" t="s">
        <v>418</v>
      </c>
      <c r="D93" s="14">
        <v>45748</v>
      </c>
      <c r="E93" s="15">
        <v>45797</v>
      </c>
      <c r="F93" s="15">
        <v>45804</v>
      </c>
      <c r="G93" s="15"/>
      <c r="H93" s="16">
        <v>10540500</v>
      </c>
      <c r="I93" s="16">
        <f t="shared" si="49"/>
        <v>1138374</v>
      </c>
      <c r="J93" s="16">
        <f t="shared" si="50"/>
        <v>-105405</v>
      </c>
      <c r="K93" s="16">
        <f t="shared" si="51"/>
        <v>10435095</v>
      </c>
      <c r="L93" s="16">
        <f t="shared" si="52"/>
        <v>11573469</v>
      </c>
      <c r="M93" s="16"/>
      <c r="N93" s="16"/>
      <c r="O93" s="16"/>
      <c r="P93" s="16">
        <f>H93+I93</f>
        <v>11678874</v>
      </c>
      <c r="Q93" s="16">
        <f>L93-M93</f>
        <v>11573469</v>
      </c>
      <c r="R93" s="268">
        <f t="shared" si="60"/>
        <v>10540500</v>
      </c>
      <c r="S93" s="16">
        <f t="shared" si="61"/>
        <v>10435095</v>
      </c>
      <c r="T93" s="34">
        <f t="shared" si="57"/>
        <v>45834</v>
      </c>
    </row>
    <row r="94" spans="2:20" s="12" customFormat="1" x14ac:dyDescent="0.3">
      <c r="B94" s="354"/>
      <c r="C94" s="13"/>
      <c r="D94" s="14"/>
      <c r="E94" s="15"/>
      <c r="F94" s="15"/>
      <c r="G94" s="15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268">
        <f>H94-N94</f>
        <v>0</v>
      </c>
      <c r="S94" s="16"/>
      <c r="T94" s="34"/>
    </row>
    <row r="95" spans="2:20" s="12" customFormat="1" x14ac:dyDescent="0.3">
      <c r="B95" s="354"/>
      <c r="C95" s="353" t="s">
        <v>135</v>
      </c>
      <c r="D95" s="353"/>
      <c r="E95" s="353"/>
      <c r="F95" s="353"/>
      <c r="G95" s="353"/>
      <c r="H95" s="18">
        <f>SUM(H85:H94)</f>
        <v>225399000</v>
      </c>
      <c r="I95" s="18">
        <f t="shared" ref="I95:T95" si="62">SUM(I85:I94)</f>
        <v>24343092</v>
      </c>
      <c r="J95" s="18">
        <f t="shared" si="62"/>
        <v>-2253990</v>
      </c>
      <c r="K95" s="18">
        <f t="shared" si="62"/>
        <v>223145010</v>
      </c>
      <c r="L95" s="18">
        <f t="shared" si="62"/>
        <v>247488102</v>
      </c>
      <c r="M95" s="18">
        <f t="shared" si="62"/>
        <v>235914633</v>
      </c>
      <c r="N95" s="18">
        <f t="shared" si="62"/>
        <v>214858500</v>
      </c>
      <c r="O95" s="18">
        <f t="shared" si="62"/>
        <v>212709915</v>
      </c>
      <c r="P95" s="18">
        <f t="shared" si="62"/>
        <v>11678874</v>
      </c>
      <c r="Q95" s="18">
        <f t="shared" si="62"/>
        <v>11573469</v>
      </c>
      <c r="R95" s="273">
        <f t="shared" si="62"/>
        <v>10540500</v>
      </c>
      <c r="S95" s="18">
        <f t="shared" si="62"/>
        <v>10435095</v>
      </c>
      <c r="T95" s="18">
        <f t="shared" si="62"/>
        <v>411358</v>
      </c>
    </row>
    <row r="96" spans="2:20" s="12" customFormat="1" ht="17.25" customHeight="1" x14ac:dyDescent="0.3">
      <c r="B96" s="354" t="s">
        <v>51</v>
      </c>
      <c r="C96" s="13" t="s">
        <v>52</v>
      </c>
      <c r="D96" s="14" t="s">
        <v>41</v>
      </c>
      <c r="E96" s="15">
        <v>45460</v>
      </c>
      <c r="F96" s="15">
        <v>45460</v>
      </c>
      <c r="G96" s="15">
        <v>45518</v>
      </c>
      <c r="H96" s="16">
        <v>43161546</v>
      </c>
      <c r="I96" s="16">
        <f t="shared" ref="I96:I101" si="63">H96*0.18</f>
        <v>7769078.2799999993</v>
      </c>
      <c r="J96" s="16">
        <f t="shared" ref="J96:J101" si="64">-(H96*3%)</f>
        <v>-1294846.3799999999</v>
      </c>
      <c r="K96" s="16">
        <f t="shared" ref="K96:K101" si="65">+H96+J96</f>
        <v>41866699.619999997</v>
      </c>
      <c r="L96" s="16">
        <f t="shared" ref="L96:L101" si="66">H96+I96+J96</f>
        <v>49635777.899999999</v>
      </c>
      <c r="M96" s="16">
        <v>49635778</v>
      </c>
      <c r="N96" s="16">
        <f t="shared" ref="N96:N116" si="67">+M96-I96-J96</f>
        <v>43161546.100000001</v>
      </c>
      <c r="O96" s="16">
        <f t="shared" ref="O96:O97" si="68">+M96-I96</f>
        <v>41866699.719999999</v>
      </c>
      <c r="P96" s="16">
        <f t="shared" ref="P96:P101" si="69">+L96-M96</f>
        <v>-0.10000000149011612</v>
      </c>
      <c r="Q96" s="16">
        <f>P96</f>
        <v>-0.10000000149011612</v>
      </c>
      <c r="R96" s="268">
        <f t="shared" si="58"/>
        <v>-0.10000000149011612</v>
      </c>
      <c r="S96" s="16">
        <f>+L96-I96-O96</f>
        <v>-0.10000000149011612</v>
      </c>
      <c r="T96" s="34">
        <f t="shared" ref="T96:T101" si="70">+F96+30</f>
        <v>45490</v>
      </c>
    </row>
    <row r="97" spans="2:20" s="12" customFormat="1" ht="16.5" customHeight="1" x14ac:dyDescent="0.3">
      <c r="B97" s="354"/>
      <c r="C97" s="13" t="s">
        <v>84</v>
      </c>
      <c r="D97" s="14">
        <v>45444</v>
      </c>
      <c r="E97" s="15">
        <v>45475</v>
      </c>
      <c r="F97" s="15">
        <v>45476</v>
      </c>
      <c r="G97" s="15">
        <v>45518</v>
      </c>
      <c r="H97" s="16">
        <v>64742320</v>
      </c>
      <c r="I97" s="16">
        <f t="shared" si="63"/>
        <v>11653617.6</v>
      </c>
      <c r="J97" s="16">
        <f t="shared" si="64"/>
        <v>-1942269.5999999999</v>
      </c>
      <c r="K97" s="16">
        <f t="shared" si="65"/>
        <v>62800050.399999999</v>
      </c>
      <c r="L97" s="16">
        <f t="shared" si="66"/>
        <v>74453668</v>
      </c>
      <c r="M97" s="16">
        <v>74453668</v>
      </c>
      <c r="N97" s="16">
        <f t="shared" si="67"/>
        <v>64742320</v>
      </c>
      <c r="O97" s="16">
        <f t="shared" si="68"/>
        <v>62800050.399999999</v>
      </c>
      <c r="P97" s="16">
        <f t="shared" si="69"/>
        <v>0</v>
      </c>
      <c r="Q97" s="16">
        <f t="shared" ref="Q97:Q101" si="71">P97</f>
        <v>0</v>
      </c>
      <c r="R97" s="268">
        <f t="shared" si="58"/>
        <v>0</v>
      </c>
      <c r="S97" s="16">
        <f>+L97-I97-O97</f>
        <v>0</v>
      </c>
      <c r="T97" s="34">
        <f t="shared" si="70"/>
        <v>45506</v>
      </c>
    </row>
    <row r="98" spans="2:20" s="12" customFormat="1" ht="17.25" customHeight="1" x14ac:dyDescent="0.3">
      <c r="B98" s="354"/>
      <c r="C98" s="13" t="s">
        <v>85</v>
      </c>
      <c r="D98" s="14">
        <v>45474</v>
      </c>
      <c r="E98" s="15">
        <v>45481</v>
      </c>
      <c r="F98" s="15">
        <v>45482</v>
      </c>
      <c r="G98" s="15">
        <v>45551</v>
      </c>
      <c r="H98" s="16">
        <v>64742320</v>
      </c>
      <c r="I98" s="16">
        <f t="shared" si="63"/>
        <v>11653617.6</v>
      </c>
      <c r="J98" s="16">
        <f t="shared" si="64"/>
        <v>-1942269.5999999999</v>
      </c>
      <c r="K98" s="16">
        <f t="shared" si="65"/>
        <v>62800050.399999999</v>
      </c>
      <c r="L98" s="16">
        <f t="shared" si="66"/>
        <v>74453668</v>
      </c>
      <c r="M98" s="16">
        <v>74453668</v>
      </c>
      <c r="N98" s="16">
        <f t="shared" si="67"/>
        <v>64742320</v>
      </c>
      <c r="O98" s="16">
        <f>+M98-I98</f>
        <v>62800050.399999999</v>
      </c>
      <c r="P98" s="16">
        <f t="shared" si="69"/>
        <v>0</v>
      </c>
      <c r="Q98" s="16">
        <f t="shared" si="71"/>
        <v>0</v>
      </c>
      <c r="R98" s="268">
        <f t="shared" si="58"/>
        <v>0</v>
      </c>
      <c r="S98" s="16">
        <f>+L98-I98-O98</f>
        <v>0</v>
      </c>
      <c r="T98" s="34">
        <f t="shared" si="70"/>
        <v>45512</v>
      </c>
    </row>
    <row r="99" spans="2:20" s="12" customFormat="1" ht="17.25" customHeight="1" x14ac:dyDescent="0.3">
      <c r="B99" s="354"/>
      <c r="C99" s="13" t="s">
        <v>99</v>
      </c>
      <c r="D99" s="14">
        <v>45505</v>
      </c>
      <c r="E99" s="15">
        <v>45498</v>
      </c>
      <c r="F99" s="15">
        <v>45498</v>
      </c>
      <c r="G99" s="15">
        <v>45560</v>
      </c>
      <c r="H99" s="16">
        <v>64742320</v>
      </c>
      <c r="I99" s="16">
        <f t="shared" si="63"/>
        <v>11653617.6</v>
      </c>
      <c r="J99" s="16">
        <f t="shared" si="64"/>
        <v>-1942269.5999999999</v>
      </c>
      <c r="K99" s="16">
        <f t="shared" si="65"/>
        <v>62800050.399999999</v>
      </c>
      <c r="L99" s="16">
        <f t="shared" si="66"/>
        <v>74453668</v>
      </c>
      <c r="M99" s="16">
        <v>74453668</v>
      </c>
      <c r="N99" s="16">
        <f t="shared" si="67"/>
        <v>64742320</v>
      </c>
      <c r="O99" s="16">
        <f>+M99-I99</f>
        <v>62800050.399999999</v>
      </c>
      <c r="P99" s="16">
        <f t="shared" si="69"/>
        <v>0</v>
      </c>
      <c r="Q99" s="16">
        <f t="shared" si="71"/>
        <v>0</v>
      </c>
      <c r="R99" s="268">
        <f t="shared" si="58"/>
        <v>0</v>
      </c>
      <c r="S99" s="16">
        <f>+L99-I99-O99</f>
        <v>0</v>
      </c>
      <c r="T99" s="34">
        <f t="shared" si="70"/>
        <v>45528</v>
      </c>
    </row>
    <row r="100" spans="2:20" s="12" customFormat="1" ht="17.25" customHeight="1" x14ac:dyDescent="0.3">
      <c r="B100" s="354"/>
      <c r="C100" s="13" t="s">
        <v>106</v>
      </c>
      <c r="D100" s="14" t="s">
        <v>109</v>
      </c>
      <c r="E100" s="15">
        <v>45532</v>
      </c>
      <c r="F100" s="15">
        <v>45532</v>
      </c>
      <c r="G100" s="15">
        <v>45719</v>
      </c>
      <c r="H100" s="16">
        <v>129484640</v>
      </c>
      <c r="I100" s="16">
        <f t="shared" si="63"/>
        <v>23307235.199999999</v>
      </c>
      <c r="J100" s="16">
        <f t="shared" si="64"/>
        <v>-3884539.1999999997</v>
      </c>
      <c r="K100" s="16">
        <f t="shared" si="65"/>
        <v>125600100.8</v>
      </c>
      <c r="L100" s="16">
        <f t="shared" si="66"/>
        <v>148907336</v>
      </c>
      <c r="M100" s="16">
        <v>148907336</v>
      </c>
      <c r="N100" s="16">
        <f t="shared" si="67"/>
        <v>129484640</v>
      </c>
      <c r="O100" s="16">
        <f>+M100-I100</f>
        <v>125600100.8</v>
      </c>
      <c r="P100" s="16">
        <f t="shared" si="69"/>
        <v>0</v>
      </c>
      <c r="Q100" s="16">
        <f>P100</f>
        <v>0</v>
      </c>
      <c r="R100" s="268">
        <f t="shared" si="58"/>
        <v>0</v>
      </c>
      <c r="S100" s="16">
        <f>+L100-I100-O100</f>
        <v>0</v>
      </c>
      <c r="T100" s="34">
        <f t="shared" si="70"/>
        <v>45562</v>
      </c>
    </row>
    <row r="101" spans="2:20" s="12" customFormat="1" ht="17.25" customHeight="1" x14ac:dyDescent="0.3">
      <c r="B101" s="354"/>
      <c r="C101" s="13" t="s">
        <v>188</v>
      </c>
      <c r="D101" s="14">
        <v>45597</v>
      </c>
      <c r="E101" s="15">
        <v>45621</v>
      </c>
      <c r="F101" s="15">
        <v>45622</v>
      </c>
      <c r="G101" s="15">
        <v>45677</v>
      </c>
      <c r="H101" s="16">
        <v>64742320</v>
      </c>
      <c r="I101" s="16">
        <f t="shared" si="63"/>
        <v>11653617.6</v>
      </c>
      <c r="J101" s="16">
        <f t="shared" si="64"/>
        <v>-1942269.5999999999</v>
      </c>
      <c r="K101" s="16">
        <f t="shared" si="65"/>
        <v>62800050.399999999</v>
      </c>
      <c r="L101" s="16">
        <f t="shared" si="66"/>
        <v>74453668</v>
      </c>
      <c r="M101" s="16">
        <v>74453668</v>
      </c>
      <c r="N101" s="16">
        <f t="shared" si="67"/>
        <v>64742320</v>
      </c>
      <c r="O101" s="16">
        <f>+M101-I101</f>
        <v>62800050.399999999</v>
      </c>
      <c r="P101" s="16">
        <f t="shared" si="69"/>
        <v>0</v>
      </c>
      <c r="Q101" s="16">
        <f t="shared" si="71"/>
        <v>0</v>
      </c>
      <c r="R101" s="268">
        <f t="shared" si="58"/>
        <v>0</v>
      </c>
      <c r="S101" s="16">
        <f>Q101</f>
        <v>0</v>
      </c>
      <c r="T101" s="37">
        <f t="shared" si="70"/>
        <v>45652</v>
      </c>
    </row>
    <row r="102" spans="2:20" s="12" customFormat="1" ht="18.75" customHeight="1" x14ac:dyDescent="0.3">
      <c r="B102" s="354"/>
      <c r="C102" s="353" t="s">
        <v>75</v>
      </c>
      <c r="D102" s="353"/>
      <c r="E102" s="353"/>
      <c r="F102" s="353"/>
      <c r="G102" s="353"/>
      <c r="H102" s="18">
        <f>SUM(H96:H101)</f>
        <v>431615466</v>
      </c>
      <c r="I102" s="18">
        <f>SUM(I96:I101)</f>
        <v>77690783.879999995</v>
      </c>
      <c r="J102" s="18">
        <f t="shared" ref="J102:S102" si="72">SUM(J96:J101)</f>
        <v>-12948463.979999999</v>
      </c>
      <c r="K102" s="18">
        <f t="shared" si="72"/>
        <v>418667002.01999998</v>
      </c>
      <c r="L102" s="18">
        <f t="shared" si="72"/>
        <v>496357785.89999998</v>
      </c>
      <c r="M102" s="18">
        <f>SUM(M96:M101)</f>
        <v>496357786</v>
      </c>
      <c r="N102" s="18">
        <f>SUM(N96:N101)</f>
        <v>431615466.10000002</v>
      </c>
      <c r="O102" s="18">
        <f t="shared" si="72"/>
        <v>418667002.12</v>
      </c>
      <c r="P102" s="18">
        <f t="shared" si="72"/>
        <v>-0.10000000149011612</v>
      </c>
      <c r="Q102" s="18">
        <f t="shared" si="72"/>
        <v>-0.10000000149011612</v>
      </c>
      <c r="R102" s="273">
        <f t="shared" si="72"/>
        <v>-0.10000000149011612</v>
      </c>
      <c r="S102" s="18">
        <f t="shared" si="72"/>
        <v>-0.10000000149011612</v>
      </c>
      <c r="T102" s="73"/>
    </row>
    <row r="103" spans="2:20" s="12" customFormat="1" ht="18.75" customHeight="1" x14ac:dyDescent="0.3">
      <c r="B103" s="354" t="s">
        <v>90</v>
      </c>
      <c r="C103" s="22" t="s">
        <v>92</v>
      </c>
      <c r="D103" s="35">
        <v>45474</v>
      </c>
      <c r="E103" s="23">
        <v>45482</v>
      </c>
      <c r="F103" s="23">
        <v>45482</v>
      </c>
      <c r="G103" s="75">
        <v>45488</v>
      </c>
      <c r="H103" s="24">
        <v>12886598</v>
      </c>
      <c r="I103" s="24">
        <f>H103*0.18</f>
        <v>2319587.64</v>
      </c>
      <c r="J103" s="24">
        <f>-H103*3%</f>
        <v>-386597.94</v>
      </c>
      <c r="K103" s="16">
        <f>+H103+J103</f>
        <v>12500000.060000001</v>
      </c>
      <c r="L103" s="16">
        <f>H103+I103+J103</f>
        <v>14819587.700000001</v>
      </c>
      <c r="M103" s="24">
        <v>14819588</v>
      </c>
      <c r="N103" s="16">
        <f t="shared" si="67"/>
        <v>12886598.299999999</v>
      </c>
      <c r="O103" s="16">
        <f>+M103-I103</f>
        <v>12500000.359999999</v>
      </c>
      <c r="P103" s="16">
        <f>+L103-M103</f>
        <v>-0.29999999888241291</v>
      </c>
      <c r="Q103" s="16">
        <f t="shared" ref="Q103:Q104" si="73">P103</f>
        <v>-0.29999999888241291</v>
      </c>
      <c r="R103" s="268">
        <f t="shared" si="58"/>
        <v>-0.29999999888241291</v>
      </c>
      <c r="S103" s="16">
        <f>Q103</f>
        <v>-0.29999999888241291</v>
      </c>
      <c r="T103" s="34">
        <f>+F103+30</f>
        <v>45512</v>
      </c>
    </row>
    <row r="104" spans="2:20" s="12" customFormat="1" ht="18.75" customHeight="1" x14ac:dyDescent="0.3">
      <c r="B104" s="354"/>
      <c r="C104" s="22" t="s">
        <v>124</v>
      </c>
      <c r="D104" s="35">
        <v>45566</v>
      </c>
      <c r="E104" s="23">
        <v>45567</v>
      </c>
      <c r="F104" s="23">
        <v>45600</v>
      </c>
      <c r="G104" s="75">
        <v>45663</v>
      </c>
      <c r="H104" s="24">
        <v>12886598</v>
      </c>
      <c r="I104" s="24">
        <f>H104*0.18</f>
        <v>2319587.64</v>
      </c>
      <c r="J104" s="24">
        <f>-H104*3%</f>
        <v>-386597.94</v>
      </c>
      <c r="K104" s="16">
        <f>+H104+J104</f>
        <v>12500000.060000001</v>
      </c>
      <c r="L104" s="16">
        <f>H104+I104+J104</f>
        <v>14819587.700000001</v>
      </c>
      <c r="M104" s="24">
        <v>14819588</v>
      </c>
      <c r="N104" s="16">
        <f t="shared" si="67"/>
        <v>12886598.299999999</v>
      </c>
      <c r="O104" s="16">
        <f>+M104-I104</f>
        <v>12500000.359999999</v>
      </c>
      <c r="P104" s="16">
        <f>+L104-M104</f>
        <v>-0.29999999888241291</v>
      </c>
      <c r="Q104" s="16">
        <f t="shared" si="73"/>
        <v>-0.29999999888241291</v>
      </c>
      <c r="R104" s="268">
        <f t="shared" si="58"/>
        <v>-0.29999999888241291</v>
      </c>
      <c r="S104" s="16">
        <f>Q104</f>
        <v>-0.29999999888241291</v>
      </c>
      <c r="T104" s="34">
        <f>+F104+30</f>
        <v>45630</v>
      </c>
    </row>
    <row r="105" spans="2:20" s="12" customFormat="1" ht="18" customHeight="1" x14ac:dyDescent="0.3">
      <c r="B105" s="354"/>
      <c r="C105" s="353" t="s">
        <v>91</v>
      </c>
      <c r="D105" s="353"/>
      <c r="E105" s="353"/>
      <c r="F105" s="353"/>
      <c r="G105" s="353"/>
      <c r="H105" s="18">
        <f>SUM(H103:H104)</f>
        <v>25773196</v>
      </c>
      <c r="I105" s="18">
        <f t="shared" ref="I105:S105" si="74">SUM(I103:I104)</f>
        <v>4639175.28</v>
      </c>
      <c r="J105" s="18">
        <f t="shared" si="74"/>
        <v>-773195.88</v>
      </c>
      <c r="K105" s="18">
        <f t="shared" si="74"/>
        <v>25000000.120000001</v>
      </c>
      <c r="L105" s="18">
        <f t="shared" si="74"/>
        <v>29639175.400000002</v>
      </c>
      <c r="M105" s="18">
        <f t="shared" si="74"/>
        <v>29639176</v>
      </c>
      <c r="N105" s="18">
        <f t="shared" si="74"/>
        <v>25773196.599999998</v>
      </c>
      <c r="O105" s="18">
        <f t="shared" si="74"/>
        <v>25000000.719999999</v>
      </c>
      <c r="P105" s="18">
        <f t="shared" si="74"/>
        <v>-0.59999999776482582</v>
      </c>
      <c r="Q105" s="18">
        <f t="shared" si="74"/>
        <v>-0.59999999776482582</v>
      </c>
      <c r="R105" s="268">
        <f t="shared" si="58"/>
        <v>-0.59999999776482582</v>
      </c>
      <c r="S105" s="18">
        <f t="shared" si="74"/>
        <v>-0.59999999776482582</v>
      </c>
      <c r="T105" s="73"/>
    </row>
    <row r="106" spans="2:20" s="12" customFormat="1" ht="18" customHeight="1" x14ac:dyDescent="0.3">
      <c r="B106" s="354" t="s">
        <v>101</v>
      </c>
      <c r="C106" s="22" t="s">
        <v>102</v>
      </c>
      <c r="D106" s="35" t="s">
        <v>103</v>
      </c>
      <c r="E106" s="23">
        <v>45516</v>
      </c>
      <c r="F106" s="23">
        <v>45516</v>
      </c>
      <c r="G106" s="23">
        <v>45531</v>
      </c>
      <c r="H106" s="24">
        <v>15750000</v>
      </c>
      <c r="I106" s="24">
        <f t="shared" ref="I106:I116" si="75">H106*0.18</f>
        <v>2835000</v>
      </c>
      <c r="J106" s="24">
        <f t="shared" ref="J106:J116" si="76">-H106*3%</f>
        <v>-472500</v>
      </c>
      <c r="K106" s="16">
        <f t="shared" ref="K106:K116" si="77">+H106+J106</f>
        <v>15277500</v>
      </c>
      <c r="L106" s="16">
        <f t="shared" ref="L106:L116" si="78">H106+I106+J106</f>
        <v>18112500</v>
      </c>
      <c r="M106" s="24">
        <v>18112500</v>
      </c>
      <c r="N106" s="16">
        <f t="shared" si="67"/>
        <v>15750000</v>
      </c>
      <c r="O106" s="16">
        <f>+M106-I106</f>
        <v>15277500</v>
      </c>
      <c r="P106" s="16">
        <f t="shared" ref="P106:P116" si="79">+L106-M106</f>
        <v>0</v>
      </c>
      <c r="Q106" s="16">
        <f t="shared" ref="Q106:Q107" si="80">P106</f>
        <v>0</v>
      </c>
      <c r="R106" s="268">
        <f t="shared" si="58"/>
        <v>0</v>
      </c>
      <c r="S106" s="16">
        <f t="shared" ref="S106:S113" si="81">Q106</f>
        <v>0</v>
      </c>
      <c r="T106" s="34">
        <f t="shared" ref="T106:T116" si="82">+F106+30</f>
        <v>45546</v>
      </c>
    </row>
    <row r="107" spans="2:20" s="12" customFormat="1" ht="18" customHeight="1" x14ac:dyDescent="0.3">
      <c r="B107" s="354"/>
      <c r="C107" s="22" t="s">
        <v>108</v>
      </c>
      <c r="D107" s="35">
        <v>45505</v>
      </c>
      <c r="E107" s="23">
        <v>45530</v>
      </c>
      <c r="F107" s="23">
        <v>45531</v>
      </c>
      <c r="G107" s="23">
        <v>45623</v>
      </c>
      <c r="H107" s="24">
        <v>2100000</v>
      </c>
      <c r="I107" s="24">
        <f t="shared" si="75"/>
        <v>378000</v>
      </c>
      <c r="J107" s="24">
        <f t="shared" si="76"/>
        <v>-63000</v>
      </c>
      <c r="K107" s="16">
        <f t="shared" si="77"/>
        <v>2037000</v>
      </c>
      <c r="L107" s="16">
        <f t="shared" si="78"/>
        <v>2415000</v>
      </c>
      <c r="M107" s="24">
        <v>2415000</v>
      </c>
      <c r="N107" s="16">
        <f t="shared" si="67"/>
        <v>2100000</v>
      </c>
      <c r="O107" s="16">
        <f>+M107-I107</f>
        <v>2037000</v>
      </c>
      <c r="P107" s="16">
        <f t="shared" si="79"/>
        <v>0</v>
      </c>
      <c r="Q107" s="16">
        <f t="shared" si="80"/>
        <v>0</v>
      </c>
      <c r="R107" s="268">
        <f t="shared" si="58"/>
        <v>0</v>
      </c>
      <c r="S107" s="16">
        <f t="shared" si="81"/>
        <v>0</v>
      </c>
      <c r="T107" s="34">
        <f t="shared" si="82"/>
        <v>45561</v>
      </c>
    </row>
    <row r="108" spans="2:20" s="12" customFormat="1" ht="18" customHeight="1" x14ac:dyDescent="0.3">
      <c r="B108" s="354"/>
      <c r="C108" s="22" t="s">
        <v>112</v>
      </c>
      <c r="D108" s="35">
        <v>45536</v>
      </c>
      <c r="E108" s="23">
        <v>45560</v>
      </c>
      <c r="F108" s="23">
        <v>45566</v>
      </c>
      <c r="G108" s="23">
        <v>45595</v>
      </c>
      <c r="H108" s="24">
        <v>2100000</v>
      </c>
      <c r="I108" s="24">
        <f t="shared" si="75"/>
        <v>378000</v>
      </c>
      <c r="J108" s="24">
        <f t="shared" si="76"/>
        <v>-63000</v>
      </c>
      <c r="K108" s="16">
        <f t="shared" si="77"/>
        <v>2037000</v>
      </c>
      <c r="L108" s="16">
        <f t="shared" si="78"/>
        <v>2415000</v>
      </c>
      <c r="M108" s="24">
        <f>1924230+490770</f>
        <v>2415000</v>
      </c>
      <c r="N108" s="16">
        <f t="shared" si="67"/>
        <v>2100000</v>
      </c>
      <c r="O108" s="16">
        <f>+M108-I108</f>
        <v>2037000</v>
      </c>
      <c r="P108" s="16">
        <f t="shared" si="79"/>
        <v>0</v>
      </c>
      <c r="Q108" s="16">
        <f>P108</f>
        <v>0</v>
      </c>
      <c r="R108" s="268">
        <f t="shared" si="58"/>
        <v>0</v>
      </c>
      <c r="S108" s="16">
        <f t="shared" si="81"/>
        <v>0</v>
      </c>
      <c r="T108" s="34">
        <f t="shared" si="82"/>
        <v>45596</v>
      </c>
    </row>
    <row r="109" spans="2:20" s="12" customFormat="1" ht="18" customHeight="1" x14ac:dyDescent="0.3">
      <c r="B109" s="354"/>
      <c r="C109" s="22" t="s">
        <v>149</v>
      </c>
      <c r="D109" s="35">
        <v>45566</v>
      </c>
      <c r="E109" s="23">
        <v>45590</v>
      </c>
      <c r="F109" s="23">
        <v>45593</v>
      </c>
      <c r="G109" s="23">
        <v>45623</v>
      </c>
      <c r="H109" s="24">
        <v>2100000</v>
      </c>
      <c r="I109" s="24">
        <f t="shared" si="75"/>
        <v>378000</v>
      </c>
      <c r="J109" s="24">
        <f t="shared" si="76"/>
        <v>-63000</v>
      </c>
      <c r="K109" s="16">
        <f t="shared" si="77"/>
        <v>2037000</v>
      </c>
      <c r="L109" s="16">
        <f t="shared" si="78"/>
        <v>2415000</v>
      </c>
      <c r="M109" s="24">
        <v>2415000</v>
      </c>
      <c r="N109" s="16">
        <f t="shared" si="67"/>
        <v>2100000</v>
      </c>
      <c r="O109" s="16">
        <f t="shared" ref="O109:O116" si="83">+M109-I109</f>
        <v>2037000</v>
      </c>
      <c r="P109" s="16">
        <f t="shared" si="79"/>
        <v>0</v>
      </c>
      <c r="Q109" s="16">
        <f t="shared" ref="Q109:Q110" si="84">P109</f>
        <v>0</v>
      </c>
      <c r="R109" s="268">
        <f t="shared" si="58"/>
        <v>0</v>
      </c>
      <c r="S109" s="16">
        <f t="shared" si="81"/>
        <v>0</v>
      </c>
      <c r="T109" s="34">
        <f t="shared" si="82"/>
        <v>45623</v>
      </c>
    </row>
    <row r="110" spans="2:20" s="12" customFormat="1" ht="18" customHeight="1" x14ac:dyDescent="0.3">
      <c r="B110" s="354"/>
      <c r="C110" s="22" t="s">
        <v>190</v>
      </c>
      <c r="D110" s="35">
        <v>45597</v>
      </c>
      <c r="E110" s="23">
        <v>45621</v>
      </c>
      <c r="F110" s="23">
        <v>45622</v>
      </c>
      <c r="G110" s="23">
        <v>45623</v>
      </c>
      <c r="H110" s="24">
        <v>2100000</v>
      </c>
      <c r="I110" s="24">
        <f t="shared" si="75"/>
        <v>378000</v>
      </c>
      <c r="J110" s="24">
        <f t="shared" si="76"/>
        <v>-63000</v>
      </c>
      <c r="K110" s="16">
        <f t="shared" si="77"/>
        <v>2037000</v>
      </c>
      <c r="L110" s="16">
        <f t="shared" si="78"/>
        <v>2415000</v>
      </c>
      <c r="M110" s="24">
        <v>2415000</v>
      </c>
      <c r="N110" s="16">
        <f t="shared" si="67"/>
        <v>2100000</v>
      </c>
      <c r="O110" s="16">
        <f t="shared" si="83"/>
        <v>2037000</v>
      </c>
      <c r="P110" s="16">
        <f t="shared" si="79"/>
        <v>0</v>
      </c>
      <c r="Q110" s="16">
        <f t="shared" si="84"/>
        <v>0</v>
      </c>
      <c r="R110" s="268">
        <f t="shared" si="58"/>
        <v>0</v>
      </c>
      <c r="S110" s="16">
        <f t="shared" si="81"/>
        <v>0</v>
      </c>
      <c r="T110" s="34">
        <f t="shared" si="82"/>
        <v>45652</v>
      </c>
    </row>
    <row r="111" spans="2:20" s="12" customFormat="1" ht="18" customHeight="1" x14ac:dyDescent="0.3">
      <c r="B111" s="354"/>
      <c r="C111" s="22" t="s">
        <v>196</v>
      </c>
      <c r="D111" s="35">
        <v>45627</v>
      </c>
      <c r="E111" s="23">
        <v>45650</v>
      </c>
      <c r="F111" s="23">
        <v>45652</v>
      </c>
      <c r="G111" s="23">
        <v>45716</v>
      </c>
      <c r="H111" s="24">
        <v>2100000</v>
      </c>
      <c r="I111" s="24">
        <f t="shared" si="75"/>
        <v>378000</v>
      </c>
      <c r="J111" s="24">
        <f t="shared" si="76"/>
        <v>-63000</v>
      </c>
      <c r="K111" s="16">
        <f t="shared" si="77"/>
        <v>2037000</v>
      </c>
      <c r="L111" s="16">
        <f t="shared" si="78"/>
        <v>2415000</v>
      </c>
      <c r="M111" s="24">
        <v>2415000</v>
      </c>
      <c r="N111" s="24">
        <f t="shared" si="67"/>
        <v>2100000</v>
      </c>
      <c r="O111" s="24">
        <f t="shared" si="83"/>
        <v>2037000</v>
      </c>
      <c r="P111" s="16">
        <f t="shared" si="79"/>
        <v>0</v>
      </c>
      <c r="Q111" s="16">
        <f>P111</f>
        <v>0</v>
      </c>
      <c r="R111" s="268">
        <f t="shared" si="58"/>
        <v>0</v>
      </c>
      <c r="S111" s="16">
        <f t="shared" si="81"/>
        <v>0</v>
      </c>
      <c r="T111" s="34">
        <f t="shared" si="82"/>
        <v>45682</v>
      </c>
    </row>
    <row r="112" spans="2:20" s="12" customFormat="1" ht="18" customHeight="1" x14ac:dyDescent="0.3">
      <c r="B112" s="354"/>
      <c r="C112" s="22" t="s">
        <v>220</v>
      </c>
      <c r="D112" s="35">
        <v>45658</v>
      </c>
      <c r="E112" s="23">
        <v>45681</v>
      </c>
      <c r="F112" s="23">
        <v>45685</v>
      </c>
      <c r="G112" s="23">
        <v>45743</v>
      </c>
      <c r="H112" s="24">
        <v>2100000</v>
      </c>
      <c r="I112" s="24">
        <f t="shared" si="75"/>
        <v>378000</v>
      </c>
      <c r="J112" s="24">
        <f t="shared" si="76"/>
        <v>-63000</v>
      </c>
      <c r="K112" s="16">
        <f t="shared" si="77"/>
        <v>2037000</v>
      </c>
      <c r="L112" s="16">
        <f t="shared" si="78"/>
        <v>2415000</v>
      </c>
      <c r="M112" s="24">
        <v>2415000</v>
      </c>
      <c r="N112" s="24">
        <f t="shared" si="67"/>
        <v>2100000</v>
      </c>
      <c r="O112" s="24">
        <f t="shared" si="83"/>
        <v>2037000</v>
      </c>
      <c r="P112" s="16">
        <f t="shared" si="79"/>
        <v>0</v>
      </c>
      <c r="Q112" s="16">
        <f>P112</f>
        <v>0</v>
      </c>
      <c r="R112" s="268">
        <f t="shared" si="58"/>
        <v>0</v>
      </c>
      <c r="S112" s="16">
        <f t="shared" si="81"/>
        <v>0</v>
      </c>
      <c r="T112" s="34">
        <f t="shared" si="82"/>
        <v>45715</v>
      </c>
    </row>
    <row r="113" spans="2:22" s="12" customFormat="1" ht="18" customHeight="1" x14ac:dyDescent="0.3">
      <c r="B113" s="354"/>
      <c r="C113" s="22" t="s">
        <v>361</v>
      </c>
      <c r="D113" s="35">
        <v>45689</v>
      </c>
      <c r="E113" s="23">
        <v>45709</v>
      </c>
      <c r="F113" s="23">
        <v>45709</v>
      </c>
      <c r="G113" s="23">
        <v>45743</v>
      </c>
      <c r="H113" s="24">
        <v>2100000</v>
      </c>
      <c r="I113" s="24">
        <f t="shared" si="75"/>
        <v>378000</v>
      </c>
      <c r="J113" s="24">
        <f t="shared" si="76"/>
        <v>-63000</v>
      </c>
      <c r="K113" s="16">
        <f t="shared" si="77"/>
        <v>2037000</v>
      </c>
      <c r="L113" s="16">
        <f t="shared" si="78"/>
        <v>2415000</v>
      </c>
      <c r="M113" s="24">
        <v>2415000</v>
      </c>
      <c r="N113" s="24">
        <f t="shared" si="67"/>
        <v>2100000</v>
      </c>
      <c r="O113" s="24">
        <f t="shared" si="83"/>
        <v>2037000</v>
      </c>
      <c r="P113" s="16">
        <f t="shared" si="79"/>
        <v>0</v>
      </c>
      <c r="Q113" s="16">
        <f>P113</f>
        <v>0</v>
      </c>
      <c r="R113" s="268">
        <f t="shared" si="58"/>
        <v>0</v>
      </c>
      <c r="S113" s="16">
        <f t="shared" si="81"/>
        <v>0</v>
      </c>
      <c r="T113" s="34">
        <f t="shared" si="82"/>
        <v>45739</v>
      </c>
    </row>
    <row r="114" spans="2:22" s="12" customFormat="1" ht="18" customHeight="1" x14ac:dyDescent="0.3">
      <c r="B114" s="354"/>
      <c r="C114" s="22" t="s">
        <v>397</v>
      </c>
      <c r="D114" s="35">
        <v>45717</v>
      </c>
      <c r="E114" s="23">
        <v>45736</v>
      </c>
      <c r="F114" s="23">
        <v>45740</v>
      </c>
      <c r="G114" s="23">
        <v>45803</v>
      </c>
      <c r="H114" s="24">
        <v>600000</v>
      </c>
      <c r="I114" s="24">
        <f t="shared" si="75"/>
        <v>108000</v>
      </c>
      <c r="J114" s="24">
        <f t="shared" si="76"/>
        <v>-18000</v>
      </c>
      <c r="K114" s="16">
        <f t="shared" si="77"/>
        <v>582000</v>
      </c>
      <c r="L114" s="16">
        <f t="shared" si="78"/>
        <v>690000</v>
      </c>
      <c r="M114" s="16">
        <v>690000</v>
      </c>
      <c r="N114" s="16">
        <f t="shared" si="67"/>
        <v>600000</v>
      </c>
      <c r="O114" s="16">
        <f t="shared" si="83"/>
        <v>582000</v>
      </c>
      <c r="P114" s="16">
        <f t="shared" si="79"/>
        <v>0</v>
      </c>
      <c r="Q114" s="16">
        <f t="shared" ref="Q114:Q116" si="85">L114-M114</f>
        <v>0</v>
      </c>
      <c r="R114" s="268">
        <f t="shared" si="58"/>
        <v>0</v>
      </c>
      <c r="S114" s="16">
        <f t="shared" ref="S114:S116" si="86">K114-O114</f>
        <v>0</v>
      </c>
      <c r="T114" s="34">
        <f t="shared" si="82"/>
        <v>45770</v>
      </c>
    </row>
    <row r="115" spans="2:22" s="12" customFormat="1" ht="18" customHeight="1" x14ac:dyDescent="0.3">
      <c r="B115" s="354"/>
      <c r="C115" s="22" t="s">
        <v>406</v>
      </c>
      <c r="D115" s="35">
        <v>45748</v>
      </c>
      <c r="E115" s="23">
        <v>45772</v>
      </c>
      <c r="F115" s="23">
        <v>45772</v>
      </c>
      <c r="G115" s="23">
        <v>45803</v>
      </c>
      <c r="H115" s="24">
        <v>600000</v>
      </c>
      <c r="I115" s="24">
        <f t="shared" si="75"/>
        <v>108000</v>
      </c>
      <c r="J115" s="24">
        <f t="shared" si="76"/>
        <v>-18000</v>
      </c>
      <c r="K115" s="16">
        <f t="shared" si="77"/>
        <v>582000</v>
      </c>
      <c r="L115" s="16">
        <f t="shared" si="78"/>
        <v>690000</v>
      </c>
      <c r="M115" s="16">
        <v>690000</v>
      </c>
      <c r="N115" s="16">
        <f t="shared" si="67"/>
        <v>600000</v>
      </c>
      <c r="O115" s="16">
        <f t="shared" si="83"/>
        <v>582000</v>
      </c>
      <c r="P115" s="16">
        <f t="shared" si="79"/>
        <v>0</v>
      </c>
      <c r="Q115" s="16">
        <f t="shared" si="85"/>
        <v>0</v>
      </c>
      <c r="R115" s="268">
        <f t="shared" si="58"/>
        <v>0</v>
      </c>
      <c r="S115" s="16">
        <f t="shared" si="86"/>
        <v>0</v>
      </c>
      <c r="T115" s="34">
        <f t="shared" si="82"/>
        <v>45802</v>
      </c>
    </row>
    <row r="116" spans="2:22" s="12" customFormat="1" ht="18" customHeight="1" x14ac:dyDescent="0.3">
      <c r="B116" s="354"/>
      <c r="C116" s="22" t="s">
        <v>416</v>
      </c>
      <c r="D116" s="35">
        <v>45778</v>
      </c>
      <c r="E116" s="23">
        <v>45797</v>
      </c>
      <c r="F116" s="23">
        <v>45799</v>
      </c>
      <c r="G116" s="23">
        <v>45803</v>
      </c>
      <c r="H116" s="24">
        <v>600000</v>
      </c>
      <c r="I116" s="24">
        <f t="shared" si="75"/>
        <v>108000</v>
      </c>
      <c r="J116" s="24">
        <f t="shared" si="76"/>
        <v>-18000</v>
      </c>
      <c r="K116" s="16">
        <f t="shared" si="77"/>
        <v>582000</v>
      </c>
      <c r="L116" s="16">
        <f t="shared" si="78"/>
        <v>690000</v>
      </c>
      <c r="M116" s="16">
        <v>690000</v>
      </c>
      <c r="N116" s="16">
        <f t="shared" si="67"/>
        <v>600000</v>
      </c>
      <c r="O116" s="16">
        <f t="shared" si="83"/>
        <v>582000</v>
      </c>
      <c r="P116" s="16">
        <f t="shared" si="79"/>
        <v>0</v>
      </c>
      <c r="Q116" s="16">
        <f t="shared" si="85"/>
        <v>0</v>
      </c>
      <c r="R116" s="268">
        <f t="shared" si="58"/>
        <v>0</v>
      </c>
      <c r="S116" s="16">
        <f t="shared" si="86"/>
        <v>0</v>
      </c>
      <c r="T116" s="34">
        <f t="shared" si="82"/>
        <v>45829</v>
      </c>
    </row>
    <row r="117" spans="2:22" s="12" customFormat="1" ht="18" customHeight="1" x14ac:dyDescent="0.3">
      <c r="B117" s="354"/>
      <c r="C117" s="353" t="s">
        <v>105</v>
      </c>
      <c r="D117" s="353"/>
      <c r="E117" s="353"/>
      <c r="F117" s="353"/>
      <c r="G117" s="353"/>
      <c r="H117" s="18">
        <f>SUM(H106:H116)</f>
        <v>32250000</v>
      </c>
      <c r="I117" s="18">
        <f t="shared" ref="I117:R117" si="87">SUM(I106:I116)</f>
        <v>5805000</v>
      </c>
      <c r="J117" s="18">
        <f t="shared" si="87"/>
        <v>-967500</v>
      </c>
      <c r="K117" s="18">
        <f t="shared" si="87"/>
        <v>31282500</v>
      </c>
      <c r="L117" s="18">
        <f t="shared" si="87"/>
        <v>37087500</v>
      </c>
      <c r="M117" s="18">
        <f t="shared" si="87"/>
        <v>37087500</v>
      </c>
      <c r="N117" s="18">
        <f t="shared" si="87"/>
        <v>32250000</v>
      </c>
      <c r="O117" s="18">
        <f>SUM(O106:O116)</f>
        <v>31282500</v>
      </c>
      <c r="P117" s="18">
        <f t="shared" si="87"/>
        <v>0</v>
      </c>
      <c r="Q117" s="18">
        <f t="shared" si="87"/>
        <v>0</v>
      </c>
      <c r="R117" s="273">
        <f t="shared" si="87"/>
        <v>0</v>
      </c>
      <c r="S117" s="18">
        <f>SUM(S106:S116)</f>
        <v>0</v>
      </c>
      <c r="T117" s="73"/>
    </row>
    <row r="118" spans="2:22" s="12" customFormat="1" ht="18" customHeight="1" x14ac:dyDescent="0.3">
      <c r="B118" s="354" t="s">
        <v>114</v>
      </c>
      <c r="C118" s="22" t="s">
        <v>130</v>
      </c>
      <c r="D118" s="35" t="s">
        <v>131</v>
      </c>
      <c r="E118" s="23">
        <v>45569</v>
      </c>
      <c r="F118" s="23">
        <v>45574</v>
      </c>
      <c r="G118" s="23">
        <v>45698</v>
      </c>
      <c r="H118" s="24">
        <v>216339437</v>
      </c>
      <c r="I118" s="16">
        <f>+H118*0.18</f>
        <v>38941098.659999996</v>
      </c>
      <c r="J118" s="16">
        <f>-H118*3%</f>
        <v>-6490183.1099999994</v>
      </c>
      <c r="K118" s="16">
        <f>+H118+J118</f>
        <v>209849253.88999999</v>
      </c>
      <c r="L118" s="16">
        <f>H118+I118+J118</f>
        <v>248790352.55000001</v>
      </c>
      <c r="M118" s="24">
        <v>124395176</v>
      </c>
      <c r="N118" s="16">
        <f>H118/2</f>
        <v>108169718.5</v>
      </c>
      <c r="O118" s="16">
        <f>K118/2</f>
        <v>104924626.94499999</v>
      </c>
      <c r="P118" s="16">
        <f>+L118-M118</f>
        <v>124395176.55000001</v>
      </c>
      <c r="Q118" s="16">
        <f>P118+(J118/2)</f>
        <v>121150084.995</v>
      </c>
      <c r="R118" s="268">
        <f>H118-N118</f>
        <v>108169718.5</v>
      </c>
      <c r="S118" s="16">
        <f>K118-O118</f>
        <v>104924626.94499999</v>
      </c>
      <c r="T118" s="34">
        <f>+F118+30</f>
        <v>45604</v>
      </c>
      <c r="V118" s="76"/>
    </row>
    <row r="119" spans="2:22" s="12" customFormat="1" ht="18" customHeight="1" x14ac:dyDescent="0.3">
      <c r="B119" s="354"/>
      <c r="C119" s="13"/>
      <c r="D119" s="35"/>
      <c r="E119" s="23"/>
      <c r="F119" s="23"/>
      <c r="G119" s="23"/>
      <c r="H119" s="24"/>
      <c r="I119" s="24"/>
      <c r="J119" s="24"/>
      <c r="K119" s="16"/>
      <c r="L119" s="16"/>
      <c r="M119" s="24"/>
      <c r="N119" s="24"/>
      <c r="O119" s="24"/>
      <c r="P119" s="16"/>
      <c r="Q119" s="16"/>
      <c r="R119" s="268"/>
      <c r="S119" s="16"/>
      <c r="T119" s="34">
        <f>+F119+30</f>
        <v>30</v>
      </c>
      <c r="V119" s="76"/>
    </row>
    <row r="120" spans="2:22" s="12" customFormat="1" ht="18" customHeight="1" x14ac:dyDescent="0.3">
      <c r="B120" s="354"/>
      <c r="C120" s="13"/>
      <c r="D120" s="35"/>
      <c r="E120" s="23"/>
      <c r="F120" s="23"/>
      <c r="G120" s="23"/>
      <c r="H120" s="24"/>
      <c r="I120" s="24"/>
      <c r="J120" s="24"/>
      <c r="K120" s="16"/>
      <c r="L120" s="16"/>
      <c r="M120" s="24"/>
      <c r="N120" s="24"/>
      <c r="O120" s="24"/>
      <c r="P120" s="16"/>
      <c r="Q120" s="16"/>
      <c r="R120" s="268"/>
      <c r="S120" s="16"/>
      <c r="T120" s="34"/>
      <c r="V120" s="76"/>
    </row>
    <row r="121" spans="2:22" s="12" customFormat="1" ht="18" customHeight="1" x14ac:dyDescent="0.3">
      <c r="B121" s="354"/>
      <c r="C121" s="22"/>
      <c r="D121" s="35"/>
      <c r="E121" s="23"/>
      <c r="F121" s="23"/>
      <c r="G121" s="23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67"/>
      <c r="S121" s="24"/>
      <c r="T121" s="24"/>
      <c r="V121" s="76"/>
    </row>
    <row r="122" spans="2:22" s="12" customFormat="1" ht="18" customHeight="1" x14ac:dyDescent="0.3">
      <c r="B122" s="354"/>
      <c r="C122" s="353" t="s">
        <v>113</v>
      </c>
      <c r="D122" s="353"/>
      <c r="E122" s="353"/>
      <c r="F122" s="353"/>
      <c r="G122" s="353"/>
      <c r="H122" s="18">
        <f t="shared" ref="H122:S122" si="88">SUM(H118:H121)</f>
        <v>216339437</v>
      </c>
      <c r="I122" s="18">
        <f t="shared" si="88"/>
        <v>38941098.659999996</v>
      </c>
      <c r="J122" s="18">
        <f t="shared" si="88"/>
        <v>-6490183.1099999994</v>
      </c>
      <c r="K122" s="18">
        <f t="shared" si="88"/>
        <v>209849253.88999999</v>
      </c>
      <c r="L122" s="18">
        <f t="shared" si="88"/>
        <v>248790352.55000001</v>
      </c>
      <c r="M122" s="18">
        <f t="shared" si="88"/>
        <v>124395176</v>
      </c>
      <c r="N122" s="18">
        <f t="shared" si="88"/>
        <v>108169718.5</v>
      </c>
      <c r="O122" s="18">
        <f t="shared" si="88"/>
        <v>104924626.94499999</v>
      </c>
      <c r="P122" s="18">
        <f t="shared" si="88"/>
        <v>124395176.55000001</v>
      </c>
      <c r="Q122" s="18">
        <f t="shared" si="88"/>
        <v>121150084.995</v>
      </c>
      <c r="R122" s="273">
        <f t="shared" si="88"/>
        <v>108169718.5</v>
      </c>
      <c r="S122" s="18">
        <f t="shared" si="88"/>
        <v>104924626.94499999</v>
      </c>
      <c r="T122" s="73"/>
      <c r="V122" s="76"/>
    </row>
    <row r="123" spans="2:22" s="12" customFormat="1" ht="18" customHeight="1" x14ac:dyDescent="0.3">
      <c r="B123" s="341" t="s">
        <v>152</v>
      </c>
      <c r="C123" s="22" t="s">
        <v>184</v>
      </c>
      <c r="D123" s="35" t="s">
        <v>41</v>
      </c>
      <c r="E123" s="23">
        <v>45604</v>
      </c>
      <c r="F123" s="23">
        <v>45604</v>
      </c>
      <c r="G123" s="23">
        <v>45607</v>
      </c>
      <c r="H123" s="24">
        <v>3360000</v>
      </c>
      <c r="I123" s="24">
        <f>H123*18%</f>
        <v>604800</v>
      </c>
      <c r="J123" s="24">
        <f t="shared" ref="J123:J130" si="89">-H123*3%</f>
        <v>-100800</v>
      </c>
      <c r="K123" s="16">
        <f t="shared" ref="K123:K130" si="90">+H123+J123</f>
        <v>3259200</v>
      </c>
      <c r="L123" s="16">
        <f t="shared" ref="L123:L130" si="91">H123+I123+J123</f>
        <v>3864000</v>
      </c>
      <c r="M123" s="24">
        <v>3864000</v>
      </c>
      <c r="N123" s="16">
        <f t="shared" ref="N123:N126" si="92">+M123-I123-J123</f>
        <v>3360000</v>
      </c>
      <c r="O123" s="16">
        <f>+M123-I123</f>
        <v>3259200</v>
      </c>
      <c r="P123" s="16">
        <f t="shared" ref="P123:P129" si="93">+L123-M123</f>
        <v>0</v>
      </c>
      <c r="Q123" s="16">
        <f t="shared" ref="Q123:Q126" si="94">+P123</f>
        <v>0</v>
      </c>
      <c r="R123" s="268">
        <f t="shared" ref="R123:R125" si="95">H123-N123</f>
        <v>0</v>
      </c>
      <c r="S123" s="16">
        <f>Q123</f>
        <v>0</v>
      </c>
      <c r="T123" s="34">
        <f t="shared" ref="T123:T130" si="96">+F123+30</f>
        <v>45634</v>
      </c>
    </row>
    <row r="124" spans="2:22" s="12" customFormat="1" ht="18" customHeight="1" x14ac:dyDescent="0.3">
      <c r="B124" s="342"/>
      <c r="C124" s="22" t="s">
        <v>191</v>
      </c>
      <c r="D124" s="35">
        <v>45597</v>
      </c>
      <c r="E124" s="23">
        <v>45628</v>
      </c>
      <c r="F124" s="23">
        <v>45629</v>
      </c>
      <c r="G124" s="23">
        <v>45656</v>
      </c>
      <c r="H124" s="24">
        <v>1120000</v>
      </c>
      <c r="I124" s="24">
        <f t="shared" ref="I124:I130" si="97">+H124*18%</f>
        <v>201600</v>
      </c>
      <c r="J124" s="24">
        <f t="shared" si="89"/>
        <v>-33600</v>
      </c>
      <c r="K124" s="16">
        <f t="shared" si="90"/>
        <v>1086400</v>
      </c>
      <c r="L124" s="16">
        <f t="shared" si="91"/>
        <v>1288000</v>
      </c>
      <c r="M124" s="24">
        <v>1288000</v>
      </c>
      <c r="N124" s="16">
        <f t="shared" si="92"/>
        <v>1120000</v>
      </c>
      <c r="O124" s="16">
        <f t="shared" ref="O124:O126" si="98">+M124-I124</f>
        <v>1086400</v>
      </c>
      <c r="P124" s="16">
        <f t="shared" si="93"/>
        <v>0</v>
      </c>
      <c r="Q124" s="16">
        <f t="shared" si="94"/>
        <v>0</v>
      </c>
      <c r="R124" s="268">
        <f t="shared" si="95"/>
        <v>0</v>
      </c>
      <c r="S124" s="16">
        <f t="shared" ref="S124:S126" si="99">Q124</f>
        <v>0</v>
      </c>
      <c r="T124" s="34">
        <f t="shared" si="96"/>
        <v>45659</v>
      </c>
    </row>
    <row r="125" spans="2:22" s="12" customFormat="1" ht="18" customHeight="1" x14ac:dyDescent="0.3">
      <c r="B125" s="342"/>
      <c r="C125" s="22" t="s">
        <v>195</v>
      </c>
      <c r="D125" s="35">
        <v>45627</v>
      </c>
      <c r="E125" s="23">
        <v>45650</v>
      </c>
      <c r="F125" s="23">
        <v>45656</v>
      </c>
      <c r="G125" s="23">
        <v>45663</v>
      </c>
      <c r="H125" s="24">
        <v>1120000</v>
      </c>
      <c r="I125" s="24">
        <f t="shared" si="97"/>
        <v>201600</v>
      </c>
      <c r="J125" s="24">
        <f t="shared" si="89"/>
        <v>-33600</v>
      </c>
      <c r="K125" s="16">
        <f t="shared" si="90"/>
        <v>1086400</v>
      </c>
      <c r="L125" s="16">
        <f t="shared" si="91"/>
        <v>1288000</v>
      </c>
      <c r="M125" s="24">
        <v>1288000</v>
      </c>
      <c r="N125" s="16">
        <f t="shared" si="92"/>
        <v>1120000</v>
      </c>
      <c r="O125" s="16">
        <f t="shared" si="98"/>
        <v>1086400</v>
      </c>
      <c r="P125" s="16">
        <f t="shared" si="93"/>
        <v>0</v>
      </c>
      <c r="Q125" s="16">
        <f t="shared" si="94"/>
        <v>0</v>
      </c>
      <c r="R125" s="268">
        <f t="shared" si="95"/>
        <v>0</v>
      </c>
      <c r="S125" s="16">
        <f t="shared" si="99"/>
        <v>0</v>
      </c>
      <c r="T125" s="34">
        <f t="shared" si="96"/>
        <v>45686</v>
      </c>
    </row>
    <row r="126" spans="2:22" s="12" customFormat="1" ht="18" customHeight="1" x14ac:dyDescent="0.3">
      <c r="B126" s="342"/>
      <c r="C126" s="22" t="s">
        <v>221</v>
      </c>
      <c r="D126" s="35">
        <v>45658</v>
      </c>
      <c r="E126" s="23">
        <v>45681</v>
      </c>
      <c r="F126" s="23">
        <v>45686</v>
      </c>
      <c r="G126" s="23">
        <v>45693</v>
      </c>
      <c r="H126" s="24">
        <v>1120000</v>
      </c>
      <c r="I126" s="24">
        <f t="shared" si="97"/>
        <v>201600</v>
      </c>
      <c r="J126" s="24">
        <f t="shared" si="89"/>
        <v>-33600</v>
      </c>
      <c r="K126" s="16">
        <f t="shared" si="90"/>
        <v>1086400</v>
      </c>
      <c r="L126" s="16">
        <f t="shared" si="91"/>
        <v>1288000</v>
      </c>
      <c r="M126" s="24">
        <v>1288000</v>
      </c>
      <c r="N126" s="16">
        <f t="shared" si="92"/>
        <v>1120000</v>
      </c>
      <c r="O126" s="16">
        <f t="shared" si="98"/>
        <v>1086400</v>
      </c>
      <c r="P126" s="16">
        <f t="shared" si="93"/>
        <v>0</v>
      </c>
      <c r="Q126" s="16">
        <f t="shared" si="94"/>
        <v>0</v>
      </c>
      <c r="R126" s="268">
        <f>H126-N126</f>
        <v>0</v>
      </c>
      <c r="S126" s="16">
        <f t="shared" si="99"/>
        <v>0</v>
      </c>
      <c r="T126" s="34">
        <f t="shared" si="96"/>
        <v>45716</v>
      </c>
    </row>
    <row r="127" spans="2:22" s="12" customFormat="1" ht="18" customHeight="1" x14ac:dyDescent="0.3">
      <c r="B127" s="342"/>
      <c r="C127" s="22" t="s">
        <v>367</v>
      </c>
      <c r="D127" s="35">
        <v>45689</v>
      </c>
      <c r="E127" s="23">
        <v>45709</v>
      </c>
      <c r="F127" s="23">
        <v>45712</v>
      </c>
      <c r="G127" s="23">
        <v>45733</v>
      </c>
      <c r="H127" s="24">
        <v>1120000</v>
      </c>
      <c r="I127" s="24">
        <f t="shared" si="97"/>
        <v>201600</v>
      </c>
      <c r="J127" s="24">
        <f t="shared" si="89"/>
        <v>-33600</v>
      </c>
      <c r="K127" s="16">
        <f t="shared" si="90"/>
        <v>1086400</v>
      </c>
      <c r="L127" s="16">
        <f t="shared" si="91"/>
        <v>1288000</v>
      </c>
      <c r="M127" s="24">
        <v>1288000</v>
      </c>
      <c r="N127" s="24">
        <f>+M127-I127-J127</f>
        <v>1120000</v>
      </c>
      <c r="O127" s="24">
        <f>+M127-I127</f>
        <v>1086400</v>
      </c>
      <c r="P127" s="16">
        <f t="shared" si="93"/>
        <v>0</v>
      </c>
      <c r="Q127" s="16">
        <f>+P127</f>
        <v>0</v>
      </c>
      <c r="R127" s="268">
        <f>H127-N127</f>
        <v>0</v>
      </c>
      <c r="S127" s="16">
        <f>Q127</f>
        <v>0</v>
      </c>
      <c r="T127" s="34">
        <f t="shared" si="96"/>
        <v>45742</v>
      </c>
    </row>
    <row r="128" spans="2:22" s="12" customFormat="1" ht="18" customHeight="1" x14ac:dyDescent="0.3">
      <c r="B128" s="342"/>
      <c r="C128" s="22" t="s">
        <v>392</v>
      </c>
      <c r="D128" s="35">
        <v>45717</v>
      </c>
      <c r="E128" s="23">
        <v>45736</v>
      </c>
      <c r="F128" s="23">
        <v>45741</v>
      </c>
      <c r="G128" s="23">
        <v>45764</v>
      </c>
      <c r="H128" s="24">
        <v>1120000</v>
      </c>
      <c r="I128" s="24">
        <f t="shared" si="97"/>
        <v>201600</v>
      </c>
      <c r="J128" s="24">
        <f t="shared" si="89"/>
        <v>-33600</v>
      </c>
      <c r="K128" s="16">
        <f t="shared" si="90"/>
        <v>1086400</v>
      </c>
      <c r="L128" s="16">
        <f t="shared" si="91"/>
        <v>1288000</v>
      </c>
      <c r="M128" s="24">
        <v>1288000</v>
      </c>
      <c r="N128" s="24">
        <f>+M128-I128-J128</f>
        <v>1120000</v>
      </c>
      <c r="O128" s="24">
        <f>+M128-I128</f>
        <v>1086400</v>
      </c>
      <c r="P128" s="16">
        <f t="shared" si="93"/>
        <v>0</v>
      </c>
      <c r="Q128" s="16">
        <f>+P128</f>
        <v>0</v>
      </c>
      <c r="R128" s="268">
        <f>H128-N128</f>
        <v>0</v>
      </c>
      <c r="S128" s="16">
        <f>Q128</f>
        <v>0</v>
      </c>
      <c r="T128" s="34">
        <f t="shared" si="96"/>
        <v>45771</v>
      </c>
    </row>
    <row r="129" spans="2:20" s="12" customFormat="1" ht="18" customHeight="1" x14ac:dyDescent="0.3">
      <c r="B129" s="342"/>
      <c r="C129" s="22" t="s">
        <v>405</v>
      </c>
      <c r="D129" s="35">
        <v>45748</v>
      </c>
      <c r="E129" s="23">
        <v>45772</v>
      </c>
      <c r="F129" s="23">
        <v>45782</v>
      </c>
      <c r="G129" s="23">
        <v>45799</v>
      </c>
      <c r="H129" s="24">
        <v>1120000</v>
      </c>
      <c r="I129" s="24">
        <f t="shared" si="97"/>
        <v>201600</v>
      </c>
      <c r="J129" s="24">
        <f t="shared" si="89"/>
        <v>-33600</v>
      </c>
      <c r="K129" s="16">
        <f t="shared" si="90"/>
        <v>1086400</v>
      </c>
      <c r="L129" s="16">
        <f t="shared" si="91"/>
        <v>1288000</v>
      </c>
      <c r="M129" s="24">
        <v>1288000</v>
      </c>
      <c r="N129" s="24">
        <f>+M129-I129-J129</f>
        <v>1120000</v>
      </c>
      <c r="O129" s="24">
        <f>+M129-I129</f>
        <v>1086400</v>
      </c>
      <c r="P129" s="16">
        <f t="shared" si="93"/>
        <v>0</v>
      </c>
      <c r="Q129" s="16">
        <f t="shared" ref="Q129:Q130" si="100">L129-M129</f>
        <v>0</v>
      </c>
      <c r="R129" s="268">
        <f t="shared" ref="R129:R130" si="101">H129-N129</f>
        <v>0</v>
      </c>
      <c r="S129" s="16">
        <f t="shared" ref="S129:S130" si="102">K129-O129</f>
        <v>0</v>
      </c>
      <c r="T129" s="34">
        <f t="shared" si="96"/>
        <v>45812</v>
      </c>
    </row>
    <row r="130" spans="2:20" s="12" customFormat="1" ht="18" customHeight="1" x14ac:dyDescent="0.3">
      <c r="B130" s="342"/>
      <c r="C130" s="22" t="s">
        <v>421</v>
      </c>
      <c r="D130" s="35">
        <v>45778</v>
      </c>
      <c r="E130" s="23">
        <v>45797</v>
      </c>
      <c r="F130" s="23">
        <v>45799</v>
      </c>
      <c r="G130" s="23"/>
      <c r="H130" s="24">
        <v>1120000</v>
      </c>
      <c r="I130" s="24">
        <f t="shared" si="97"/>
        <v>201600</v>
      </c>
      <c r="J130" s="24">
        <f t="shared" si="89"/>
        <v>-33600</v>
      </c>
      <c r="K130" s="16">
        <f t="shared" si="90"/>
        <v>1086400</v>
      </c>
      <c r="L130" s="16">
        <f t="shared" si="91"/>
        <v>1288000</v>
      </c>
      <c r="M130" s="24"/>
      <c r="N130" s="24"/>
      <c r="O130" s="24"/>
      <c r="P130" s="16">
        <f>H130+I130</f>
        <v>1321600</v>
      </c>
      <c r="Q130" s="16">
        <f t="shared" si="100"/>
        <v>1288000</v>
      </c>
      <c r="R130" s="268">
        <f t="shared" si="101"/>
        <v>1120000</v>
      </c>
      <c r="S130" s="16">
        <f t="shared" si="102"/>
        <v>1086400</v>
      </c>
      <c r="T130" s="34">
        <f t="shared" si="96"/>
        <v>45829</v>
      </c>
    </row>
    <row r="131" spans="2:20" s="12" customFormat="1" ht="18" customHeight="1" x14ac:dyDescent="0.3">
      <c r="B131" s="343"/>
      <c r="C131" s="353" t="s">
        <v>153</v>
      </c>
      <c r="D131" s="353"/>
      <c r="E131" s="353"/>
      <c r="F131" s="353"/>
      <c r="G131" s="353"/>
      <c r="H131" s="18">
        <f t="shared" ref="H131:S131" si="103">SUM(H123:H130)</f>
        <v>11200000</v>
      </c>
      <c r="I131" s="18">
        <f t="shared" si="103"/>
        <v>2016000</v>
      </c>
      <c r="J131" s="18">
        <f t="shared" si="103"/>
        <v>-336000</v>
      </c>
      <c r="K131" s="18">
        <f t="shared" si="103"/>
        <v>10864000</v>
      </c>
      <c r="L131" s="18">
        <f t="shared" si="103"/>
        <v>12880000</v>
      </c>
      <c r="M131" s="18">
        <f t="shared" si="103"/>
        <v>11592000</v>
      </c>
      <c r="N131" s="18">
        <f t="shared" si="103"/>
        <v>10080000</v>
      </c>
      <c r="O131" s="18">
        <f t="shared" si="103"/>
        <v>9777600</v>
      </c>
      <c r="P131" s="18">
        <f t="shared" si="103"/>
        <v>1321600</v>
      </c>
      <c r="Q131" s="18">
        <f t="shared" si="103"/>
        <v>1288000</v>
      </c>
      <c r="R131" s="273">
        <f t="shared" si="103"/>
        <v>1120000</v>
      </c>
      <c r="S131" s="18">
        <f t="shared" si="103"/>
        <v>1086400</v>
      </c>
      <c r="T131" s="73"/>
    </row>
    <row r="132" spans="2:20" s="12" customFormat="1" ht="18" customHeight="1" x14ac:dyDescent="0.3">
      <c r="B132" s="354" t="s">
        <v>192</v>
      </c>
      <c r="C132" s="22" t="s">
        <v>193</v>
      </c>
      <c r="D132" s="35">
        <v>45597</v>
      </c>
      <c r="E132" s="23">
        <v>45629</v>
      </c>
      <c r="F132" s="23">
        <v>45630</v>
      </c>
      <c r="G132" s="23">
        <v>45695</v>
      </c>
      <c r="H132" s="24">
        <v>4950000</v>
      </c>
      <c r="I132" s="24">
        <f t="shared" ref="I132:I138" si="104">+H132*18%</f>
        <v>891000</v>
      </c>
      <c r="J132" s="24">
        <f t="shared" ref="J132:J138" si="105">-H132*3%</f>
        <v>-148500</v>
      </c>
      <c r="K132" s="16">
        <f t="shared" ref="K132:K138" si="106">+H132+J132</f>
        <v>4801500</v>
      </c>
      <c r="L132" s="16">
        <f t="shared" ref="L132:L138" si="107">H132+I132+J132</f>
        <v>5692500</v>
      </c>
      <c r="M132" s="24">
        <v>5692500</v>
      </c>
      <c r="N132" s="16">
        <f t="shared" ref="N132:N136" si="108">+M132-I132-J132</f>
        <v>4950000</v>
      </c>
      <c r="O132" s="16">
        <f t="shared" ref="O132:O136" si="109">+M132-I132</f>
        <v>4801500</v>
      </c>
      <c r="P132" s="16">
        <f t="shared" ref="P132:P136" si="110">+L132-M132</f>
        <v>0</v>
      </c>
      <c r="Q132" s="16">
        <f t="shared" ref="Q132" si="111">+P132</f>
        <v>0</v>
      </c>
      <c r="R132" s="268">
        <f t="shared" ref="R132:R136" si="112">H132-N132</f>
        <v>0</v>
      </c>
      <c r="S132" s="16">
        <f t="shared" ref="S132" si="113">Q132</f>
        <v>0</v>
      </c>
      <c r="T132" s="34">
        <f t="shared" ref="T132:T138" si="114">+F132+30</f>
        <v>45660</v>
      </c>
    </row>
    <row r="133" spans="2:20" s="12" customFormat="1" ht="18" customHeight="1" x14ac:dyDescent="0.3">
      <c r="B133" s="354"/>
      <c r="C133" s="22" t="s">
        <v>194</v>
      </c>
      <c r="D133" s="35">
        <v>45627</v>
      </c>
      <c r="E133" s="23">
        <v>45650</v>
      </c>
      <c r="F133" s="23">
        <v>45663</v>
      </c>
      <c r="G133" s="23">
        <v>45797</v>
      </c>
      <c r="H133" s="24">
        <v>4950000</v>
      </c>
      <c r="I133" s="24">
        <f t="shared" si="104"/>
        <v>891000</v>
      </c>
      <c r="J133" s="24">
        <f t="shared" si="105"/>
        <v>-148500</v>
      </c>
      <c r="K133" s="16">
        <f t="shared" si="106"/>
        <v>4801500</v>
      </c>
      <c r="L133" s="16">
        <f t="shared" si="107"/>
        <v>5692500</v>
      </c>
      <c r="M133" s="24">
        <v>5692500</v>
      </c>
      <c r="N133" s="16">
        <f t="shared" si="108"/>
        <v>4950000</v>
      </c>
      <c r="O133" s="16">
        <f t="shared" si="109"/>
        <v>4801500</v>
      </c>
      <c r="P133" s="16">
        <f t="shared" si="110"/>
        <v>0</v>
      </c>
      <c r="Q133" s="16">
        <f>L133-M133</f>
        <v>0</v>
      </c>
      <c r="R133" s="268">
        <f t="shared" si="112"/>
        <v>0</v>
      </c>
      <c r="S133" s="16">
        <f t="shared" ref="S133:S136" si="115">K133-O133</f>
        <v>0</v>
      </c>
      <c r="T133" s="34">
        <f t="shared" si="114"/>
        <v>45693</v>
      </c>
    </row>
    <row r="134" spans="2:20" s="12" customFormat="1" ht="18" customHeight="1" x14ac:dyDescent="0.3">
      <c r="B134" s="354"/>
      <c r="C134" s="22" t="s">
        <v>222</v>
      </c>
      <c r="D134" s="35">
        <v>45658</v>
      </c>
      <c r="E134" s="23">
        <v>45681</v>
      </c>
      <c r="F134" s="23">
        <v>45686</v>
      </c>
      <c r="G134" s="23">
        <v>45797</v>
      </c>
      <c r="H134" s="24">
        <v>4950000</v>
      </c>
      <c r="I134" s="24">
        <f t="shared" si="104"/>
        <v>891000</v>
      </c>
      <c r="J134" s="24">
        <f t="shared" si="105"/>
        <v>-148500</v>
      </c>
      <c r="K134" s="16">
        <f t="shared" si="106"/>
        <v>4801500</v>
      </c>
      <c r="L134" s="16">
        <f t="shared" si="107"/>
        <v>5692500</v>
      </c>
      <c r="M134" s="24">
        <v>5692500</v>
      </c>
      <c r="N134" s="16">
        <f t="shared" si="108"/>
        <v>4950000</v>
      </c>
      <c r="O134" s="16">
        <f t="shared" si="109"/>
        <v>4801500</v>
      </c>
      <c r="P134" s="16">
        <f t="shared" si="110"/>
        <v>0</v>
      </c>
      <c r="Q134" s="16">
        <f t="shared" ref="Q134:Q138" si="116">L134-M134</f>
        <v>0</v>
      </c>
      <c r="R134" s="268">
        <f t="shared" si="112"/>
        <v>0</v>
      </c>
      <c r="S134" s="16">
        <f t="shared" si="115"/>
        <v>0</v>
      </c>
      <c r="T134" s="34">
        <f t="shared" si="114"/>
        <v>45716</v>
      </c>
    </row>
    <row r="135" spans="2:20" s="12" customFormat="1" ht="18" customHeight="1" x14ac:dyDescent="0.3">
      <c r="B135" s="354"/>
      <c r="C135" s="22" t="s">
        <v>368</v>
      </c>
      <c r="D135" s="35">
        <v>45689</v>
      </c>
      <c r="E135" s="23">
        <v>45709</v>
      </c>
      <c r="F135" s="23">
        <v>45712</v>
      </c>
      <c r="G135" s="23">
        <v>45797</v>
      </c>
      <c r="H135" s="24">
        <v>4950000</v>
      </c>
      <c r="I135" s="24">
        <f t="shared" si="104"/>
        <v>891000</v>
      </c>
      <c r="J135" s="24">
        <f t="shared" si="105"/>
        <v>-148500</v>
      </c>
      <c r="K135" s="16">
        <f t="shared" si="106"/>
        <v>4801500</v>
      </c>
      <c r="L135" s="16">
        <f t="shared" si="107"/>
        <v>5692500</v>
      </c>
      <c r="M135" s="24">
        <v>5692500</v>
      </c>
      <c r="N135" s="16">
        <f t="shared" si="108"/>
        <v>4950000</v>
      </c>
      <c r="O135" s="16">
        <f t="shared" si="109"/>
        <v>4801500</v>
      </c>
      <c r="P135" s="16">
        <f t="shared" si="110"/>
        <v>0</v>
      </c>
      <c r="Q135" s="16">
        <f t="shared" si="116"/>
        <v>0</v>
      </c>
      <c r="R135" s="268">
        <f t="shared" si="112"/>
        <v>0</v>
      </c>
      <c r="S135" s="16">
        <f t="shared" si="115"/>
        <v>0</v>
      </c>
      <c r="T135" s="34">
        <f t="shared" si="114"/>
        <v>45742</v>
      </c>
    </row>
    <row r="136" spans="2:20" s="12" customFormat="1" ht="18" customHeight="1" x14ac:dyDescent="0.3">
      <c r="B136" s="354"/>
      <c r="C136" s="22" t="s">
        <v>393</v>
      </c>
      <c r="D136" s="35">
        <v>45717</v>
      </c>
      <c r="E136" s="23">
        <v>45736</v>
      </c>
      <c r="F136" s="23">
        <v>45741</v>
      </c>
      <c r="G136" s="23">
        <v>45811</v>
      </c>
      <c r="H136" s="24">
        <v>4950000</v>
      </c>
      <c r="I136" s="24">
        <f t="shared" si="104"/>
        <v>891000</v>
      </c>
      <c r="J136" s="24">
        <f t="shared" si="105"/>
        <v>-148500</v>
      </c>
      <c r="K136" s="16">
        <f t="shared" si="106"/>
        <v>4801500</v>
      </c>
      <c r="L136" s="16">
        <f t="shared" si="107"/>
        <v>5692500</v>
      </c>
      <c r="M136" s="24">
        <v>5692500</v>
      </c>
      <c r="N136" s="24">
        <f t="shared" si="108"/>
        <v>4950000</v>
      </c>
      <c r="O136" s="24">
        <f t="shared" si="109"/>
        <v>4801500</v>
      </c>
      <c r="P136" s="16">
        <f t="shared" si="110"/>
        <v>0</v>
      </c>
      <c r="Q136" s="16">
        <f t="shared" si="116"/>
        <v>0</v>
      </c>
      <c r="R136" s="268">
        <f t="shared" si="112"/>
        <v>0</v>
      </c>
      <c r="S136" s="16">
        <f t="shared" si="115"/>
        <v>0</v>
      </c>
      <c r="T136" s="34">
        <f t="shared" si="114"/>
        <v>45771</v>
      </c>
    </row>
    <row r="137" spans="2:20" s="12" customFormat="1" ht="18" customHeight="1" x14ac:dyDescent="0.3">
      <c r="B137" s="354"/>
      <c r="C137" s="22" t="s">
        <v>404</v>
      </c>
      <c r="D137" s="35">
        <v>45748</v>
      </c>
      <c r="E137" s="23">
        <v>45772</v>
      </c>
      <c r="F137" s="23">
        <v>45782</v>
      </c>
      <c r="G137" s="23"/>
      <c r="H137" s="24">
        <v>4950000</v>
      </c>
      <c r="I137" s="24">
        <f t="shared" si="104"/>
        <v>891000</v>
      </c>
      <c r="J137" s="24">
        <f t="shared" si="105"/>
        <v>-148500</v>
      </c>
      <c r="K137" s="16">
        <f t="shared" si="106"/>
        <v>4801500</v>
      </c>
      <c r="L137" s="16">
        <f t="shared" si="107"/>
        <v>5692500</v>
      </c>
      <c r="M137" s="24"/>
      <c r="N137" s="24"/>
      <c r="O137" s="24"/>
      <c r="P137" s="16">
        <f>H137+I137</f>
        <v>5841000</v>
      </c>
      <c r="Q137" s="16">
        <f t="shared" si="116"/>
        <v>5692500</v>
      </c>
      <c r="R137" s="268">
        <f>H137-N137</f>
        <v>4950000</v>
      </c>
      <c r="S137" s="16">
        <f>K137-O137</f>
        <v>4801500</v>
      </c>
      <c r="T137" s="34">
        <f t="shared" si="114"/>
        <v>45812</v>
      </c>
    </row>
    <row r="138" spans="2:20" s="12" customFormat="1" ht="18" customHeight="1" x14ac:dyDescent="0.3">
      <c r="B138" s="354"/>
      <c r="C138" s="22" t="s">
        <v>420</v>
      </c>
      <c r="D138" s="35">
        <v>45778</v>
      </c>
      <c r="E138" s="23">
        <v>45797</v>
      </c>
      <c r="F138" s="23">
        <v>45799</v>
      </c>
      <c r="G138" s="23"/>
      <c r="H138" s="24">
        <v>4950000</v>
      </c>
      <c r="I138" s="24">
        <f t="shared" si="104"/>
        <v>891000</v>
      </c>
      <c r="J138" s="24">
        <f t="shared" si="105"/>
        <v>-148500</v>
      </c>
      <c r="K138" s="16">
        <f t="shared" si="106"/>
        <v>4801500</v>
      </c>
      <c r="L138" s="16">
        <f t="shared" si="107"/>
        <v>5692500</v>
      </c>
      <c r="M138" s="24"/>
      <c r="N138" s="24"/>
      <c r="O138" s="24"/>
      <c r="P138" s="16">
        <f>H138+I138</f>
        <v>5841000</v>
      </c>
      <c r="Q138" s="16">
        <f t="shared" si="116"/>
        <v>5692500</v>
      </c>
      <c r="R138" s="268">
        <f>H138-N138</f>
        <v>4950000</v>
      </c>
      <c r="S138" s="16">
        <f>K138-O138</f>
        <v>4801500</v>
      </c>
      <c r="T138" s="34">
        <f t="shared" si="114"/>
        <v>45829</v>
      </c>
    </row>
    <row r="139" spans="2:20" s="12" customFormat="1" ht="18" customHeight="1" x14ac:dyDescent="0.3">
      <c r="B139" s="354"/>
      <c r="C139" s="22"/>
      <c r="D139" s="35"/>
      <c r="E139" s="23"/>
      <c r="F139" s="23"/>
      <c r="G139" s="23"/>
      <c r="H139" s="24"/>
      <c r="I139" s="24"/>
      <c r="J139" s="24"/>
      <c r="K139" s="16"/>
      <c r="L139" s="16"/>
      <c r="M139" s="24"/>
      <c r="N139" s="24"/>
      <c r="O139" s="24"/>
      <c r="P139" s="16"/>
      <c r="Q139" s="16"/>
      <c r="R139" s="268"/>
      <c r="S139" s="16"/>
      <c r="T139" s="34"/>
    </row>
    <row r="140" spans="2:20" s="12" customFormat="1" ht="18" customHeight="1" x14ac:dyDescent="0.3">
      <c r="B140" s="354"/>
      <c r="C140" s="353" t="s">
        <v>200</v>
      </c>
      <c r="D140" s="353"/>
      <c r="E140" s="353"/>
      <c r="F140" s="353"/>
      <c r="G140" s="353"/>
      <c r="H140" s="18">
        <f>SUM(H132:H139)</f>
        <v>34650000</v>
      </c>
      <c r="I140" s="18">
        <f t="shared" ref="I140:S140" si="117">SUM(I132:I139)</f>
        <v>6237000</v>
      </c>
      <c r="J140" s="18">
        <f t="shared" si="117"/>
        <v>-1039500</v>
      </c>
      <c r="K140" s="18">
        <f t="shared" si="117"/>
        <v>33610500</v>
      </c>
      <c r="L140" s="18">
        <f>SUM(L132:L139)</f>
        <v>39847500</v>
      </c>
      <c r="M140" s="18">
        <f t="shared" ref="M140:N140" si="118">SUM(M132:M139)</f>
        <v>28462500</v>
      </c>
      <c r="N140" s="18">
        <f t="shared" si="118"/>
        <v>24750000</v>
      </c>
      <c r="O140" s="18">
        <f t="shared" si="117"/>
        <v>24007500</v>
      </c>
      <c r="P140" s="18">
        <f t="shared" si="117"/>
        <v>11682000</v>
      </c>
      <c r="Q140" s="18">
        <f t="shared" si="117"/>
        <v>11385000</v>
      </c>
      <c r="R140" s="273">
        <f t="shared" si="117"/>
        <v>9900000</v>
      </c>
      <c r="S140" s="18">
        <f t="shared" si="117"/>
        <v>9603000</v>
      </c>
      <c r="T140" s="73"/>
    </row>
    <row r="141" spans="2:20" s="270" customFormat="1" ht="18" customHeight="1" x14ac:dyDescent="0.3">
      <c r="B141" s="341" t="s">
        <v>15</v>
      </c>
      <c r="C141" s="264" t="s">
        <v>411</v>
      </c>
      <c r="D141" s="265">
        <v>45717</v>
      </c>
      <c r="E141" s="266">
        <v>45729</v>
      </c>
      <c r="F141" s="266">
        <v>45730</v>
      </c>
      <c r="G141" s="266">
        <v>45776</v>
      </c>
      <c r="H141" s="267">
        <v>30000000</v>
      </c>
      <c r="I141" s="267">
        <f t="shared" ref="I141" si="119">+H141*18%</f>
        <v>5400000</v>
      </c>
      <c r="J141" s="267">
        <f t="shared" ref="J141" si="120">-H141*3%</f>
        <v>-900000</v>
      </c>
      <c r="K141" s="268">
        <f t="shared" ref="K141" si="121">+H141+J141</f>
        <v>29100000</v>
      </c>
      <c r="L141" s="268">
        <f t="shared" ref="L141" si="122">H141+I141+J141</f>
        <v>34500000</v>
      </c>
      <c r="M141" s="267">
        <v>30000000</v>
      </c>
      <c r="N141" s="268">
        <f>M141</f>
        <v>30000000</v>
      </c>
      <c r="O141" s="268">
        <f>+M141</f>
        <v>30000000</v>
      </c>
      <c r="P141" s="268">
        <f>M141-N141</f>
        <v>0</v>
      </c>
      <c r="Q141" s="268">
        <f t="shared" ref="Q141" si="123">+P141</f>
        <v>0</v>
      </c>
      <c r="R141" s="268">
        <f>H141-N141</f>
        <v>0</v>
      </c>
      <c r="S141" s="275">
        <f>N141-O141</f>
        <v>0</v>
      </c>
      <c r="T141" s="269">
        <f>+F141+30</f>
        <v>45760</v>
      </c>
    </row>
    <row r="142" spans="2:20" s="12" customFormat="1" ht="18" customHeight="1" x14ac:dyDescent="0.3">
      <c r="B142" s="342"/>
      <c r="C142" s="22"/>
      <c r="D142" s="35"/>
      <c r="E142" s="23"/>
      <c r="F142" s="23"/>
      <c r="G142" s="23"/>
      <c r="H142" s="24"/>
      <c r="I142" s="24"/>
      <c r="J142" s="24"/>
      <c r="K142" s="16"/>
      <c r="L142" s="16"/>
      <c r="M142" s="24"/>
      <c r="N142" s="24"/>
      <c r="O142" s="24"/>
      <c r="P142" s="16"/>
      <c r="Q142" s="16"/>
      <c r="R142" s="268"/>
      <c r="S142" s="16"/>
      <c r="T142" s="34">
        <f>+F142+30</f>
        <v>30</v>
      </c>
    </row>
    <row r="143" spans="2:20" s="12" customFormat="1" ht="18" customHeight="1" x14ac:dyDescent="0.3">
      <c r="B143" s="342"/>
      <c r="C143" s="22"/>
      <c r="D143" s="35"/>
      <c r="E143" s="23"/>
      <c r="F143" s="23"/>
      <c r="G143" s="23"/>
      <c r="H143" s="24"/>
      <c r="I143" s="24"/>
      <c r="J143" s="24"/>
      <c r="K143" s="16"/>
      <c r="L143" s="16"/>
      <c r="M143" s="24"/>
      <c r="N143" s="24"/>
      <c r="O143" s="24"/>
      <c r="P143" s="16"/>
      <c r="Q143" s="16"/>
      <c r="R143" s="268"/>
      <c r="S143" s="16"/>
      <c r="T143" s="34">
        <f>+F143+30</f>
        <v>30</v>
      </c>
    </row>
    <row r="144" spans="2:20" s="12" customFormat="1" ht="18" customHeight="1" x14ac:dyDescent="0.3">
      <c r="B144" s="342"/>
      <c r="C144" s="22"/>
      <c r="D144" s="35"/>
      <c r="E144" s="23"/>
      <c r="F144" s="23"/>
      <c r="G144" s="23"/>
      <c r="H144" s="24"/>
      <c r="I144" s="24"/>
      <c r="J144" s="24"/>
      <c r="K144" s="16"/>
      <c r="L144" s="16"/>
      <c r="M144" s="24"/>
      <c r="N144" s="24"/>
      <c r="O144" s="24"/>
      <c r="P144" s="16"/>
      <c r="Q144" s="16"/>
      <c r="R144" s="268"/>
      <c r="S144" s="16"/>
      <c r="T144" s="34">
        <f>+F144+30</f>
        <v>30</v>
      </c>
    </row>
    <row r="145" spans="2:20" s="12" customFormat="1" ht="18" customHeight="1" x14ac:dyDescent="0.3">
      <c r="B145" s="343"/>
      <c r="C145" s="344" t="s">
        <v>18</v>
      </c>
      <c r="D145" s="345"/>
      <c r="E145" s="345"/>
      <c r="F145" s="345"/>
      <c r="G145" s="346"/>
      <c r="H145" s="18">
        <f>SUM(H141:H144)</f>
        <v>30000000</v>
      </c>
      <c r="I145" s="18">
        <f t="shared" ref="I145:S145" si="124">SUM(I141:I144)</f>
        <v>5400000</v>
      </c>
      <c r="J145" s="18">
        <f t="shared" si="124"/>
        <v>-900000</v>
      </c>
      <c r="K145" s="18">
        <f t="shared" si="124"/>
        <v>29100000</v>
      </c>
      <c r="L145" s="18">
        <f t="shared" si="124"/>
        <v>34500000</v>
      </c>
      <c r="M145" s="18">
        <f>SUM(M141:M144)</f>
        <v>30000000</v>
      </c>
      <c r="N145" s="18">
        <f>SUM(N141:N144)</f>
        <v>30000000</v>
      </c>
      <c r="O145" s="18">
        <f t="shared" si="124"/>
        <v>30000000</v>
      </c>
      <c r="P145" s="18">
        <f t="shared" si="124"/>
        <v>0</v>
      </c>
      <c r="Q145" s="18">
        <f t="shared" si="124"/>
        <v>0</v>
      </c>
      <c r="R145" s="273">
        <f t="shared" si="124"/>
        <v>0</v>
      </c>
      <c r="S145" s="18">
        <f t="shared" si="124"/>
        <v>0</v>
      </c>
      <c r="T145" s="73"/>
    </row>
    <row r="146" spans="2:20" s="25" customFormat="1" ht="18" customHeight="1" x14ac:dyDescent="0.3">
      <c r="B146" s="341" t="s">
        <v>359</v>
      </c>
      <c r="C146" s="262" t="s">
        <v>369</v>
      </c>
      <c r="D146" s="263" t="s">
        <v>41</v>
      </c>
      <c r="E146" s="75">
        <v>45709</v>
      </c>
      <c r="F146" s="75">
        <v>45712</v>
      </c>
      <c r="G146" s="262"/>
      <c r="H146" s="24">
        <v>115473555</v>
      </c>
      <c r="I146" s="24">
        <f>+H146*18%</f>
        <v>20785239.899999999</v>
      </c>
      <c r="J146" s="24">
        <f>-H146*3%</f>
        <v>-3464206.65</v>
      </c>
      <c r="K146" s="16">
        <f>+H146+J146</f>
        <v>112009348.34999999</v>
      </c>
      <c r="L146" s="16">
        <f>H146+I146+J146</f>
        <v>132794588.25</v>
      </c>
      <c r="M146" s="24"/>
      <c r="N146" s="24"/>
      <c r="O146" s="24"/>
      <c r="P146" s="16">
        <f>H146+I146</f>
        <v>136258794.90000001</v>
      </c>
      <c r="Q146" s="16">
        <f>L146-M146</f>
        <v>132794588.25</v>
      </c>
      <c r="R146" s="268">
        <f>H146-N146</f>
        <v>115473555</v>
      </c>
      <c r="S146" s="16">
        <f>K146-O146</f>
        <v>112009348.34999999</v>
      </c>
      <c r="T146" s="34">
        <f>+F146+30</f>
        <v>45742</v>
      </c>
    </row>
    <row r="147" spans="2:20" s="12" customFormat="1" ht="18" customHeight="1" x14ac:dyDescent="0.3">
      <c r="B147" s="342"/>
      <c r="C147" s="72"/>
      <c r="D147" s="72"/>
      <c r="E147" s="72"/>
      <c r="F147" s="72"/>
      <c r="G147" s="72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273"/>
      <c r="S147" s="18"/>
      <c r="T147" s="73"/>
    </row>
    <row r="148" spans="2:20" s="12" customFormat="1" ht="18" customHeight="1" x14ac:dyDescent="0.3">
      <c r="B148" s="342"/>
      <c r="C148" s="72"/>
      <c r="D148" s="72"/>
      <c r="E148" s="72"/>
      <c r="F148" s="72"/>
      <c r="G148" s="72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273"/>
      <c r="S148" s="18"/>
      <c r="T148" s="73"/>
    </row>
    <row r="149" spans="2:20" s="12" customFormat="1" ht="18" customHeight="1" x14ac:dyDescent="0.3">
      <c r="B149" s="342"/>
      <c r="C149" s="72"/>
      <c r="D149" s="72"/>
      <c r="E149" s="72"/>
      <c r="F149" s="72"/>
      <c r="G149" s="72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273"/>
      <c r="S149" s="18"/>
      <c r="T149" s="73"/>
    </row>
    <row r="150" spans="2:20" s="12" customFormat="1" ht="18" customHeight="1" x14ac:dyDescent="0.3">
      <c r="B150" s="342"/>
      <c r="C150" s="72"/>
      <c r="D150" s="72"/>
      <c r="E150" s="72"/>
      <c r="F150" s="72"/>
      <c r="G150" s="72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273"/>
      <c r="S150" s="18"/>
      <c r="T150" s="73"/>
    </row>
    <row r="151" spans="2:20" s="12" customFormat="1" ht="18" customHeight="1" x14ac:dyDescent="0.3">
      <c r="B151" s="342"/>
      <c r="C151" s="72"/>
      <c r="D151" s="72"/>
      <c r="E151" s="72"/>
      <c r="F151" s="72"/>
      <c r="G151" s="72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273"/>
      <c r="S151" s="18"/>
      <c r="T151" s="73"/>
    </row>
    <row r="152" spans="2:20" s="12" customFormat="1" ht="18" customHeight="1" x14ac:dyDescent="0.3">
      <c r="B152" s="342"/>
      <c r="C152" s="72"/>
      <c r="D152" s="72"/>
      <c r="E152" s="72"/>
      <c r="F152" s="72"/>
      <c r="G152" s="72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273"/>
      <c r="S152" s="18"/>
      <c r="T152" s="73"/>
    </row>
    <row r="153" spans="2:20" s="12" customFormat="1" ht="18" customHeight="1" x14ac:dyDescent="0.3">
      <c r="B153" s="342"/>
      <c r="C153" s="72"/>
      <c r="D153" s="72"/>
      <c r="E153" s="72"/>
      <c r="F153" s="72"/>
      <c r="G153" s="7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273"/>
      <c r="S153" s="18"/>
      <c r="T153" s="73"/>
    </row>
    <row r="154" spans="2:20" s="12" customFormat="1" ht="18" customHeight="1" x14ac:dyDescent="0.3">
      <c r="B154" s="343"/>
      <c r="C154" s="344" t="s">
        <v>75</v>
      </c>
      <c r="D154" s="345"/>
      <c r="E154" s="345"/>
      <c r="F154" s="345"/>
      <c r="G154" s="346"/>
      <c r="H154" s="18">
        <f>SUM(H146:H153)</f>
        <v>115473555</v>
      </c>
      <c r="I154" s="18">
        <f t="shared" ref="I154:S154" si="125">SUM(I146:I153)</f>
        <v>20785239.899999999</v>
      </c>
      <c r="J154" s="18">
        <f t="shared" si="125"/>
        <v>-3464206.65</v>
      </c>
      <c r="K154" s="18">
        <f t="shared" si="125"/>
        <v>112009348.34999999</v>
      </c>
      <c r="L154" s="18">
        <f t="shared" si="125"/>
        <v>132794588.25</v>
      </c>
      <c r="M154" s="18">
        <f t="shared" si="125"/>
        <v>0</v>
      </c>
      <c r="N154" s="18">
        <f t="shared" si="125"/>
        <v>0</v>
      </c>
      <c r="O154" s="18">
        <f t="shared" si="125"/>
        <v>0</v>
      </c>
      <c r="P154" s="18">
        <f t="shared" si="125"/>
        <v>136258794.90000001</v>
      </c>
      <c r="Q154" s="18">
        <f t="shared" si="125"/>
        <v>132794588.25</v>
      </c>
      <c r="R154" s="273">
        <f t="shared" si="125"/>
        <v>115473555</v>
      </c>
      <c r="S154" s="18">
        <f t="shared" si="125"/>
        <v>112009348.34999999</v>
      </c>
      <c r="T154" s="73"/>
    </row>
    <row r="155" spans="2:20" s="12" customFormat="1" ht="18" customHeight="1" x14ac:dyDescent="0.3">
      <c r="B155" s="341" t="s">
        <v>223</v>
      </c>
      <c r="C155" s="262" t="s">
        <v>400</v>
      </c>
      <c r="D155" s="263" t="s">
        <v>41</v>
      </c>
      <c r="E155" s="75">
        <v>45762</v>
      </c>
      <c r="F155" s="75">
        <v>45765</v>
      </c>
      <c r="G155" s="75">
        <v>45805</v>
      </c>
      <c r="H155" s="24">
        <v>39894000</v>
      </c>
      <c r="I155" s="24">
        <f>+H155*18%*0.6</f>
        <v>4308552</v>
      </c>
      <c r="J155" s="24">
        <f>-H155*1%</f>
        <v>-398940</v>
      </c>
      <c r="K155" s="16">
        <f t="shared" ref="K155:K158" si="126">+H155+J155</f>
        <v>39495060</v>
      </c>
      <c r="L155" s="16">
        <f t="shared" ref="L155:L158" si="127">H155+I155+J155</f>
        <v>43803612</v>
      </c>
      <c r="M155" s="24">
        <v>43803612</v>
      </c>
      <c r="N155" s="16">
        <f t="shared" ref="N155" si="128">+M155-I155-J155</f>
        <v>39894000</v>
      </c>
      <c r="O155" s="16">
        <f t="shared" ref="O155" si="129">+M155-I155</f>
        <v>39495060</v>
      </c>
      <c r="P155" s="16">
        <f t="shared" ref="P155" si="130">+L155-M155</f>
        <v>0</v>
      </c>
      <c r="Q155" s="16">
        <f>L155-M155</f>
        <v>0</v>
      </c>
      <c r="R155" s="268">
        <f>H155-N155</f>
        <v>0</v>
      </c>
      <c r="S155" s="16">
        <f>K155-O155</f>
        <v>0</v>
      </c>
      <c r="T155" s="34">
        <f t="shared" ref="T155:T158" si="131">+F155+30</f>
        <v>45795</v>
      </c>
    </row>
    <row r="156" spans="2:20" s="12" customFormat="1" ht="18" customHeight="1" x14ac:dyDescent="0.3">
      <c r="B156" s="342"/>
      <c r="C156" s="262" t="s">
        <v>401</v>
      </c>
      <c r="D156" s="263" t="s">
        <v>402</v>
      </c>
      <c r="E156" s="75">
        <v>45764</v>
      </c>
      <c r="F156" s="75">
        <v>45765</v>
      </c>
      <c r="G156" s="262"/>
      <c r="H156" s="24">
        <v>15630000</v>
      </c>
      <c r="I156" s="24">
        <f t="shared" ref="I156:I157" si="132">+H156*18%*0.6</f>
        <v>1688040</v>
      </c>
      <c r="J156" s="24">
        <f t="shared" ref="J156:J157" si="133">-H156*1%</f>
        <v>-156300</v>
      </c>
      <c r="K156" s="16">
        <f t="shared" si="126"/>
        <v>15473700</v>
      </c>
      <c r="L156" s="16">
        <f t="shared" si="127"/>
        <v>17161740</v>
      </c>
      <c r="M156" s="24"/>
      <c r="N156" s="24"/>
      <c r="O156" s="24"/>
      <c r="P156" s="16">
        <f>H156+I156</f>
        <v>17318040</v>
      </c>
      <c r="Q156" s="16">
        <f>L156-M156</f>
        <v>17161740</v>
      </c>
      <c r="R156" s="268">
        <f>H156-N156</f>
        <v>15630000</v>
      </c>
      <c r="S156" s="16">
        <f>K156-O156</f>
        <v>15473700</v>
      </c>
      <c r="T156" s="34">
        <f t="shared" si="131"/>
        <v>45795</v>
      </c>
    </row>
    <row r="157" spans="2:20" s="12" customFormat="1" ht="18" customHeight="1" x14ac:dyDescent="0.3">
      <c r="B157" s="342"/>
      <c r="C157" s="262" t="s">
        <v>417</v>
      </c>
      <c r="D157" s="263">
        <v>45748</v>
      </c>
      <c r="E157" s="75">
        <v>45797</v>
      </c>
      <c r="F157" s="75">
        <v>45811</v>
      </c>
      <c r="G157" s="262"/>
      <c r="H157" s="24">
        <v>7027500</v>
      </c>
      <c r="I157" s="24">
        <f t="shared" si="132"/>
        <v>758970</v>
      </c>
      <c r="J157" s="24">
        <f t="shared" si="133"/>
        <v>-70275</v>
      </c>
      <c r="K157" s="16">
        <f t="shared" si="126"/>
        <v>6957225</v>
      </c>
      <c r="L157" s="16">
        <f t="shared" si="127"/>
        <v>7716195</v>
      </c>
      <c r="M157" s="24"/>
      <c r="N157" s="24"/>
      <c r="O157" s="24"/>
      <c r="P157" s="16">
        <f t="shared" ref="P157:P158" si="134">+L157-M157</f>
        <v>7716195</v>
      </c>
      <c r="Q157" s="16">
        <f t="shared" ref="Q157:Q158" si="135">+P157</f>
        <v>7716195</v>
      </c>
      <c r="R157" s="268">
        <f t="shared" ref="R157:R158" si="136">H157-N157</f>
        <v>7027500</v>
      </c>
      <c r="S157" s="16">
        <f t="shared" ref="S157:S158" si="137">Q157-I157</f>
        <v>6957225</v>
      </c>
      <c r="T157" s="34">
        <f t="shared" si="131"/>
        <v>45841</v>
      </c>
    </row>
    <row r="158" spans="2:20" s="12" customFormat="1" ht="18" customHeight="1" x14ac:dyDescent="0.3">
      <c r="B158" s="342"/>
      <c r="C158" s="262"/>
      <c r="D158" s="263"/>
      <c r="E158" s="75"/>
      <c r="F158" s="75"/>
      <c r="G158" s="262"/>
      <c r="H158" s="24"/>
      <c r="I158" s="24">
        <f t="shared" ref="I158" si="138">+H158*18%</f>
        <v>0</v>
      </c>
      <c r="J158" s="24">
        <f t="shared" ref="J158" si="139">-H158*3%</f>
        <v>0</v>
      </c>
      <c r="K158" s="16">
        <f t="shared" si="126"/>
        <v>0</v>
      </c>
      <c r="L158" s="16">
        <f t="shared" si="127"/>
        <v>0</v>
      </c>
      <c r="M158" s="24"/>
      <c r="N158" s="24"/>
      <c r="O158" s="24"/>
      <c r="P158" s="16">
        <f t="shared" si="134"/>
        <v>0</v>
      </c>
      <c r="Q158" s="16">
        <f t="shared" si="135"/>
        <v>0</v>
      </c>
      <c r="R158" s="268">
        <f t="shared" si="136"/>
        <v>0</v>
      </c>
      <c r="S158" s="16">
        <f t="shared" si="137"/>
        <v>0</v>
      </c>
      <c r="T158" s="34">
        <f t="shared" si="131"/>
        <v>30</v>
      </c>
    </row>
    <row r="159" spans="2:20" s="12" customFormat="1" ht="18" customHeight="1" x14ac:dyDescent="0.3">
      <c r="B159" s="342"/>
      <c r="C159" s="344" t="s">
        <v>224</v>
      </c>
      <c r="D159" s="345"/>
      <c r="E159" s="345"/>
      <c r="F159" s="345"/>
      <c r="G159" s="346"/>
      <c r="H159" s="18">
        <f>SUM(H155:H158)</f>
        <v>62551500</v>
      </c>
      <c r="I159" s="18">
        <f t="shared" ref="I159:R159" si="140">SUM(I155:I158)</f>
        <v>6755562</v>
      </c>
      <c r="J159" s="18">
        <f t="shared" si="140"/>
        <v>-625515</v>
      </c>
      <c r="K159" s="18">
        <f t="shared" si="140"/>
        <v>61925985</v>
      </c>
      <c r="L159" s="18">
        <f t="shared" si="140"/>
        <v>68681547</v>
      </c>
      <c r="M159" s="18">
        <f t="shared" si="140"/>
        <v>43803612</v>
      </c>
      <c r="N159" s="18">
        <f t="shared" si="140"/>
        <v>39894000</v>
      </c>
      <c r="O159" s="18">
        <f t="shared" si="140"/>
        <v>39495060</v>
      </c>
      <c r="P159" s="18">
        <f t="shared" si="140"/>
        <v>25034235</v>
      </c>
      <c r="Q159" s="18">
        <f t="shared" si="140"/>
        <v>24877935</v>
      </c>
      <c r="R159" s="273">
        <f t="shared" si="140"/>
        <v>22657500</v>
      </c>
      <c r="S159" s="18">
        <f>SUM(S155:S158)</f>
        <v>22430925</v>
      </c>
      <c r="T159" s="73"/>
    </row>
    <row r="160" spans="2:20" s="12" customFormat="1" ht="18" customHeight="1" x14ac:dyDescent="0.3">
      <c r="B160" s="341" t="s">
        <v>225</v>
      </c>
      <c r="C160" s="262" t="s">
        <v>423</v>
      </c>
      <c r="D160" s="263" t="s">
        <v>41</v>
      </c>
      <c r="E160" s="75">
        <v>45797</v>
      </c>
      <c r="F160" s="75">
        <v>45799</v>
      </c>
      <c r="G160" s="262"/>
      <c r="H160" s="24">
        <v>12000000</v>
      </c>
      <c r="I160" s="24">
        <f t="shared" ref="I160" si="141">+H160*18%</f>
        <v>2160000</v>
      </c>
      <c r="J160" s="24">
        <f t="shared" ref="J160" si="142">-H160*3%</f>
        <v>-360000</v>
      </c>
      <c r="K160" s="16">
        <f t="shared" ref="K160" si="143">+H160+J160</f>
        <v>11640000</v>
      </c>
      <c r="L160" s="16">
        <f t="shared" ref="L160" si="144">H160+I160+J160</f>
        <v>13800000</v>
      </c>
      <c r="M160" s="24"/>
      <c r="N160" s="24"/>
      <c r="O160" s="24"/>
      <c r="P160" s="16">
        <f>H160+I160</f>
        <v>14160000</v>
      </c>
      <c r="Q160" s="16">
        <f>L160-M160</f>
        <v>13800000</v>
      </c>
      <c r="R160" s="268">
        <f>H160-N160</f>
        <v>12000000</v>
      </c>
      <c r="S160" s="16">
        <f>K160-O160</f>
        <v>11640000</v>
      </c>
      <c r="T160" s="34">
        <f>+F160+30</f>
        <v>45829</v>
      </c>
    </row>
    <row r="161" spans="2:20" s="12" customFormat="1" ht="18" customHeight="1" x14ac:dyDescent="0.3">
      <c r="B161" s="342"/>
      <c r="C161" s="72"/>
      <c r="D161" s="72"/>
      <c r="E161" s="72"/>
      <c r="F161" s="72"/>
      <c r="G161" s="7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273"/>
      <c r="S161" s="18"/>
      <c r="T161" s="34">
        <f>+F161+30</f>
        <v>30</v>
      </c>
    </row>
    <row r="162" spans="2:20" s="12" customFormat="1" ht="18" customHeight="1" x14ac:dyDescent="0.3">
      <c r="B162" s="342"/>
      <c r="C162" s="72"/>
      <c r="D162" s="72"/>
      <c r="E162" s="72"/>
      <c r="F162" s="72"/>
      <c r="G162" s="7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273"/>
      <c r="S162" s="18"/>
      <c r="T162" s="34">
        <f>+F162+30</f>
        <v>30</v>
      </c>
    </row>
    <row r="163" spans="2:20" s="12" customFormat="1" ht="18" customHeight="1" x14ac:dyDescent="0.3">
      <c r="B163" s="342"/>
      <c r="C163" s="72"/>
      <c r="D163" s="72"/>
      <c r="E163" s="72"/>
      <c r="F163" s="72"/>
      <c r="G163" s="7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273"/>
      <c r="S163" s="18"/>
      <c r="T163" s="34">
        <f>+F163+30</f>
        <v>30</v>
      </c>
    </row>
    <row r="164" spans="2:20" s="12" customFormat="1" ht="18" customHeight="1" x14ac:dyDescent="0.3">
      <c r="B164" s="342"/>
      <c r="C164" s="72"/>
      <c r="D164" s="72"/>
      <c r="E164" s="72"/>
      <c r="F164" s="72"/>
      <c r="G164" s="7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273"/>
      <c r="S164" s="18"/>
      <c r="T164" s="34">
        <f>+F164+30</f>
        <v>30</v>
      </c>
    </row>
    <row r="165" spans="2:20" s="12" customFormat="1" ht="18" customHeight="1" x14ac:dyDescent="0.3">
      <c r="B165" s="343"/>
      <c r="C165" s="344" t="s">
        <v>226</v>
      </c>
      <c r="D165" s="345"/>
      <c r="E165" s="345"/>
      <c r="F165" s="345"/>
      <c r="G165" s="346"/>
      <c r="H165" s="18">
        <f>SUM(H160:H164)</f>
        <v>12000000</v>
      </c>
      <c r="I165" s="18">
        <f t="shared" ref="I165:S165" si="145">SUM(I160:I164)</f>
        <v>2160000</v>
      </c>
      <c r="J165" s="18">
        <f t="shared" si="145"/>
        <v>-360000</v>
      </c>
      <c r="K165" s="18">
        <f t="shared" si="145"/>
        <v>11640000</v>
      </c>
      <c r="L165" s="18">
        <f t="shared" si="145"/>
        <v>13800000</v>
      </c>
      <c r="M165" s="18">
        <f t="shared" si="145"/>
        <v>0</v>
      </c>
      <c r="N165" s="18">
        <f t="shared" si="145"/>
        <v>0</v>
      </c>
      <c r="O165" s="18">
        <f t="shared" si="145"/>
        <v>0</v>
      </c>
      <c r="P165" s="18">
        <f t="shared" si="145"/>
        <v>14160000</v>
      </c>
      <c r="Q165" s="18">
        <f t="shared" si="145"/>
        <v>13800000</v>
      </c>
      <c r="R165" s="273">
        <f t="shared" si="145"/>
        <v>12000000</v>
      </c>
      <c r="S165" s="18">
        <f t="shared" si="145"/>
        <v>11640000</v>
      </c>
      <c r="T165" s="73"/>
    </row>
    <row r="166" spans="2:20" s="12" customFormat="1" ht="24.75" customHeight="1" x14ac:dyDescent="0.3">
      <c r="B166" s="341" t="s">
        <v>408</v>
      </c>
      <c r="C166" s="262" t="s">
        <v>409</v>
      </c>
      <c r="D166" s="263" t="s">
        <v>410</v>
      </c>
      <c r="E166" s="75">
        <v>45776</v>
      </c>
      <c r="F166" s="75">
        <v>45779</v>
      </c>
      <c r="G166" s="262"/>
      <c r="H166" s="24">
        <v>7930000</v>
      </c>
      <c r="I166" s="24">
        <f t="shared" ref="I166" si="146">+H166*18%</f>
        <v>1427400</v>
      </c>
      <c r="J166" s="24">
        <f t="shared" ref="J166" si="147">-H166*3%</f>
        <v>-237900</v>
      </c>
      <c r="K166" s="16">
        <f t="shared" ref="K166" si="148">+H166+J166</f>
        <v>7692100</v>
      </c>
      <c r="L166" s="16">
        <f t="shared" ref="L166" si="149">H166+I166+J166</f>
        <v>9119500</v>
      </c>
      <c r="M166" s="24"/>
      <c r="N166" s="24"/>
      <c r="O166" s="24"/>
      <c r="P166" s="16">
        <f>H166+I166</f>
        <v>9357400</v>
      </c>
      <c r="Q166" s="16">
        <f>L166-M166</f>
        <v>9119500</v>
      </c>
      <c r="R166" s="268">
        <f>H166-N166</f>
        <v>7930000</v>
      </c>
      <c r="S166" s="16">
        <f>K166-O166</f>
        <v>7692100</v>
      </c>
      <c r="T166" s="34">
        <f t="shared" ref="T166" si="150">+F166+30</f>
        <v>45809</v>
      </c>
    </row>
    <row r="167" spans="2:20" s="12" customFormat="1" ht="21" customHeight="1" x14ac:dyDescent="0.3">
      <c r="B167" s="343"/>
      <c r="C167" s="344" t="s">
        <v>17</v>
      </c>
      <c r="D167" s="345"/>
      <c r="E167" s="345"/>
      <c r="F167" s="345"/>
      <c r="G167" s="346"/>
      <c r="H167" s="18">
        <f t="shared" ref="H167:S167" si="151">SUM(H166:H166)</f>
        <v>7930000</v>
      </c>
      <c r="I167" s="18">
        <f t="shared" si="151"/>
        <v>1427400</v>
      </c>
      <c r="J167" s="18">
        <f t="shared" si="151"/>
        <v>-237900</v>
      </c>
      <c r="K167" s="18">
        <f t="shared" si="151"/>
        <v>7692100</v>
      </c>
      <c r="L167" s="18">
        <f t="shared" si="151"/>
        <v>9119500</v>
      </c>
      <c r="M167" s="18">
        <f t="shared" si="151"/>
        <v>0</v>
      </c>
      <c r="N167" s="18">
        <f t="shared" si="151"/>
        <v>0</v>
      </c>
      <c r="O167" s="18">
        <f t="shared" si="151"/>
        <v>0</v>
      </c>
      <c r="P167" s="18">
        <f t="shared" si="151"/>
        <v>9357400</v>
      </c>
      <c r="Q167" s="18">
        <f t="shared" si="151"/>
        <v>9119500</v>
      </c>
      <c r="R167" s="273">
        <f t="shared" si="151"/>
        <v>7930000</v>
      </c>
      <c r="S167" s="18">
        <f t="shared" si="151"/>
        <v>7692100</v>
      </c>
      <c r="T167" s="73"/>
    </row>
    <row r="168" spans="2:20" s="12" customFormat="1" ht="18" customHeight="1" x14ac:dyDescent="0.3">
      <c r="B168" s="341" t="s">
        <v>229</v>
      </c>
      <c r="C168" s="262" t="s">
        <v>403</v>
      </c>
      <c r="D168" s="263">
        <v>45748</v>
      </c>
      <c r="E168" s="75">
        <v>45772</v>
      </c>
      <c r="F168" s="75">
        <v>45782</v>
      </c>
      <c r="G168" s="262"/>
      <c r="H168" s="24">
        <v>3375000</v>
      </c>
      <c r="I168" s="24">
        <v>607500</v>
      </c>
      <c r="J168" s="24">
        <f t="shared" ref="J168" si="152">-H168*3%</f>
        <v>-101250</v>
      </c>
      <c r="K168" s="16">
        <f t="shared" ref="K168" si="153">+H168+J168</f>
        <v>3273750</v>
      </c>
      <c r="L168" s="16">
        <f t="shared" ref="L168" si="154">H168+I168+J168</f>
        <v>3881250</v>
      </c>
      <c r="M168" s="24"/>
      <c r="N168" s="24"/>
      <c r="O168" s="24"/>
      <c r="P168" s="16">
        <f>H168+I168</f>
        <v>3982500</v>
      </c>
      <c r="Q168" s="16">
        <f>L168-M168</f>
        <v>3881250</v>
      </c>
      <c r="R168" s="268">
        <f>H168-N168</f>
        <v>3375000</v>
      </c>
      <c r="S168" s="16">
        <f>K168-O168</f>
        <v>3273750</v>
      </c>
      <c r="T168" s="34">
        <f>+F168+30</f>
        <v>45812</v>
      </c>
    </row>
    <row r="169" spans="2:20" s="12" customFormat="1" ht="18" customHeight="1" x14ac:dyDescent="0.3">
      <c r="B169" s="343"/>
      <c r="C169" s="344" t="s">
        <v>233</v>
      </c>
      <c r="D169" s="345"/>
      <c r="E169" s="345"/>
      <c r="F169" s="345"/>
      <c r="G169" s="346"/>
      <c r="H169" s="18">
        <f t="shared" ref="H169:S169" si="155">SUM(H168:H168)</f>
        <v>3375000</v>
      </c>
      <c r="I169" s="18">
        <f t="shared" si="155"/>
        <v>607500</v>
      </c>
      <c r="J169" s="18">
        <f t="shared" si="155"/>
        <v>-101250</v>
      </c>
      <c r="K169" s="18">
        <f t="shared" si="155"/>
        <v>3273750</v>
      </c>
      <c r="L169" s="18">
        <f t="shared" si="155"/>
        <v>3881250</v>
      </c>
      <c r="M169" s="18">
        <f t="shared" si="155"/>
        <v>0</v>
      </c>
      <c r="N169" s="18">
        <f t="shared" si="155"/>
        <v>0</v>
      </c>
      <c r="O169" s="18">
        <f t="shared" si="155"/>
        <v>0</v>
      </c>
      <c r="P169" s="18">
        <f t="shared" si="155"/>
        <v>3982500</v>
      </c>
      <c r="Q169" s="18">
        <f t="shared" si="155"/>
        <v>3881250</v>
      </c>
      <c r="R169" s="273">
        <f t="shared" si="155"/>
        <v>3375000</v>
      </c>
      <c r="S169" s="18">
        <f t="shared" si="155"/>
        <v>3273750</v>
      </c>
      <c r="T169" s="73"/>
    </row>
    <row r="170" spans="2:20" s="12" customFormat="1" ht="18" customHeight="1" x14ac:dyDescent="0.3">
      <c r="B170" s="341" t="s">
        <v>230</v>
      </c>
      <c r="C170" s="72"/>
      <c r="D170" s="72"/>
      <c r="E170" s="72"/>
      <c r="F170" s="72"/>
      <c r="G170" s="7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273"/>
      <c r="S170" s="18"/>
      <c r="T170" s="73"/>
    </row>
    <row r="171" spans="2:20" s="12" customFormat="1" ht="18" customHeight="1" x14ac:dyDescent="0.3">
      <c r="B171" s="342"/>
      <c r="C171" s="72"/>
      <c r="D171" s="72"/>
      <c r="E171" s="72"/>
      <c r="F171" s="72"/>
      <c r="G171" s="7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273"/>
      <c r="S171" s="18"/>
      <c r="T171" s="73"/>
    </row>
    <row r="172" spans="2:20" s="12" customFormat="1" ht="18" customHeight="1" x14ac:dyDescent="0.3">
      <c r="B172" s="342"/>
      <c r="C172" s="72"/>
      <c r="D172" s="72"/>
      <c r="E172" s="72"/>
      <c r="F172" s="72"/>
      <c r="G172" s="7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273"/>
      <c r="S172" s="18"/>
      <c r="T172" s="73"/>
    </row>
    <row r="173" spans="2:20" s="12" customFormat="1" ht="18" customHeight="1" x14ac:dyDescent="0.3">
      <c r="B173" s="342"/>
      <c r="C173" s="72"/>
      <c r="D173" s="72"/>
      <c r="E173" s="72"/>
      <c r="F173" s="72"/>
      <c r="G173" s="7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273"/>
      <c r="S173" s="18"/>
      <c r="T173" s="73"/>
    </row>
    <row r="174" spans="2:20" s="12" customFormat="1" ht="18" customHeight="1" x14ac:dyDescent="0.3">
      <c r="B174" s="342"/>
      <c r="C174" s="72"/>
      <c r="D174" s="72"/>
      <c r="E174" s="72"/>
      <c r="F174" s="72"/>
      <c r="G174" s="7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273"/>
      <c r="S174" s="18"/>
      <c r="T174" s="73"/>
    </row>
    <row r="175" spans="2:20" s="12" customFormat="1" ht="18" customHeight="1" x14ac:dyDescent="0.3">
      <c r="B175" s="343"/>
      <c r="C175" s="344" t="s">
        <v>234</v>
      </c>
      <c r="D175" s="345"/>
      <c r="E175" s="345"/>
      <c r="F175" s="345"/>
      <c r="G175" s="346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273"/>
      <c r="S175" s="18"/>
      <c r="T175" s="73"/>
    </row>
    <row r="176" spans="2:20" s="12" customFormat="1" ht="18" customHeight="1" x14ac:dyDescent="0.3">
      <c r="B176" s="341" t="s">
        <v>424</v>
      </c>
      <c r="C176" s="262" t="s">
        <v>425</v>
      </c>
      <c r="D176" s="263" t="s">
        <v>426</v>
      </c>
      <c r="E176" s="75">
        <v>45813</v>
      </c>
      <c r="F176" s="75">
        <v>45818</v>
      </c>
      <c r="G176" s="262"/>
      <c r="H176" s="24">
        <v>6838500</v>
      </c>
      <c r="I176" s="16">
        <f t="shared" ref="I176:I180" si="156">+H176*0.18*60%</f>
        <v>738558</v>
      </c>
      <c r="J176" s="16">
        <f t="shared" ref="J176:J180" si="157">-H176*1%</f>
        <v>-68385</v>
      </c>
      <c r="K176" s="16">
        <f t="shared" ref="K176:K180" si="158">+H176+J176</f>
        <v>6770115</v>
      </c>
      <c r="L176" s="16">
        <f t="shared" ref="L176:L180" si="159">H176+I176+J176</f>
        <v>7508673</v>
      </c>
      <c r="M176" s="16"/>
      <c r="N176" s="16"/>
      <c r="O176" s="16"/>
      <c r="P176" s="16">
        <f>H176+I176</f>
        <v>7577058</v>
      </c>
      <c r="Q176" s="16">
        <f>L176-M176</f>
        <v>7508673</v>
      </c>
      <c r="R176" s="268">
        <f t="shared" ref="R176:R180" si="160">H176-N176</f>
        <v>6838500</v>
      </c>
      <c r="S176" s="16">
        <f t="shared" ref="S176:S180" si="161">K176-O176</f>
        <v>6770115</v>
      </c>
      <c r="T176" s="34">
        <f t="shared" ref="T176:T180" si="162">+F176+30</f>
        <v>45848</v>
      </c>
    </row>
    <row r="177" spans="2:20" s="12" customFormat="1" ht="18" customHeight="1" x14ac:dyDescent="0.3">
      <c r="B177" s="342"/>
      <c r="C177" s="262" t="s">
        <v>427</v>
      </c>
      <c r="D177" s="263">
        <v>45778</v>
      </c>
      <c r="E177" s="75">
        <v>45812</v>
      </c>
      <c r="F177" s="75">
        <v>45818</v>
      </c>
      <c r="G177" s="262"/>
      <c r="H177" s="24">
        <v>8511750</v>
      </c>
      <c r="I177" s="16">
        <f t="shared" si="156"/>
        <v>919269</v>
      </c>
      <c r="J177" s="16">
        <f t="shared" si="157"/>
        <v>-85117.5</v>
      </c>
      <c r="K177" s="16">
        <f t="shared" si="158"/>
        <v>8426632.5</v>
      </c>
      <c r="L177" s="16">
        <f t="shared" si="159"/>
        <v>9345901.5</v>
      </c>
      <c r="M177" s="16"/>
      <c r="N177" s="16"/>
      <c r="O177" s="16"/>
      <c r="P177" s="16">
        <f t="shared" ref="P177:P180" si="163">H177+I177</f>
        <v>9431019</v>
      </c>
      <c r="Q177" s="16">
        <f t="shared" ref="Q177:Q180" si="164">L177-M177</f>
        <v>9345901.5</v>
      </c>
      <c r="R177" s="268">
        <f t="shared" si="160"/>
        <v>8511750</v>
      </c>
      <c r="S177" s="16">
        <f t="shared" si="161"/>
        <v>8426632.5</v>
      </c>
      <c r="T177" s="34">
        <f t="shared" si="162"/>
        <v>45848</v>
      </c>
    </row>
    <row r="178" spans="2:20" s="12" customFormat="1" ht="18" customHeight="1" x14ac:dyDescent="0.3">
      <c r="B178" s="342"/>
      <c r="C178" s="262"/>
      <c r="D178" s="263"/>
      <c r="E178" s="75"/>
      <c r="F178" s="75"/>
      <c r="G178" s="262"/>
      <c r="H178" s="24"/>
      <c r="I178" s="16">
        <f t="shared" si="156"/>
        <v>0</v>
      </c>
      <c r="J178" s="16">
        <f t="shared" si="157"/>
        <v>0</v>
      </c>
      <c r="K178" s="16">
        <f t="shared" si="158"/>
        <v>0</v>
      </c>
      <c r="L178" s="16">
        <f t="shared" si="159"/>
        <v>0</v>
      </c>
      <c r="M178" s="16"/>
      <c r="N178" s="16"/>
      <c r="O178" s="16"/>
      <c r="P178" s="16">
        <f t="shared" si="163"/>
        <v>0</v>
      </c>
      <c r="Q178" s="16">
        <f t="shared" si="164"/>
        <v>0</v>
      </c>
      <c r="R178" s="268">
        <f t="shared" si="160"/>
        <v>0</v>
      </c>
      <c r="S178" s="16">
        <f t="shared" si="161"/>
        <v>0</v>
      </c>
      <c r="T178" s="34">
        <f t="shared" si="162"/>
        <v>30</v>
      </c>
    </row>
    <row r="179" spans="2:20" s="12" customFormat="1" ht="18" customHeight="1" x14ac:dyDescent="0.3">
      <c r="B179" s="342"/>
      <c r="C179" s="262"/>
      <c r="D179" s="263"/>
      <c r="E179" s="75"/>
      <c r="F179" s="75"/>
      <c r="G179" s="262"/>
      <c r="H179" s="24"/>
      <c r="I179" s="16">
        <f t="shared" si="156"/>
        <v>0</v>
      </c>
      <c r="J179" s="16">
        <f t="shared" si="157"/>
        <v>0</v>
      </c>
      <c r="K179" s="16">
        <f t="shared" si="158"/>
        <v>0</v>
      </c>
      <c r="L179" s="16">
        <f t="shared" si="159"/>
        <v>0</v>
      </c>
      <c r="M179" s="16"/>
      <c r="N179" s="16"/>
      <c r="O179" s="16"/>
      <c r="P179" s="16">
        <f t="shared" si="163"/>
        <v>0</v>
      </c>
      <c r="Q179" s="16">
        <f t="shared" si="164"/>
        <v>0</v>
      </c>
      <c r="R179" s="268">
        <f t="shared" si="160"/>
        <v>0</v>
      </c>
      <c r="S179" s="16">
        <f t="shared" si="161"/>
        <v>0</v>
      </c>
      <c r="T179" s="34">
        <f t="shared" si="162"/>
        <v>30</v>
      </c>
    </row>
    <row r="180" spans="2:20" s="12" customFormat="1" ht="18" customHeight="1" x14ac:dyDescent="0.3">
      <c r="B180" s="342"/>
      <c r="C180" s="262"/>
      <c r="D180" s="263"/>
      <c r="E180" s="75"/>
      <c r="F180" s="75"/>
      <c r="G180" s="262"/>
      <c r="H180" s="24"/>
      <c r="I180" s="16">
        <f t="shared" si="156"/>
        <v>0</v>
      </c>
      <c r="J180" s="16">
        <f t="shared" si="157"/>
        <v>0</v>
      </c>
      <c r="K180" s="16">
        <f t="shared" si="158"/>
        <v>0</v>
      </c>
      <c r="L180" s="16">
        <f t="shared" si="159"/>
        <v>0</v>
      </c>
      <c r="M180" s="16"/>
      <c r="N180" s="16"/>
      <c r="O180" s="16"/>
      <c r="P180" s="16">
        <f t="shared" si="163"/>
        <v>0</v>
      </c>
      <c r="Q180" s="16">
        <f t="shared" si="164"/>
        <v>0</v>
      </c>
      <c r="R180" s="268">
        <f t="shared" si="160"/>
        <v>0</v>
      </c>
      <c r="S180" s="16">
        <f t="shared" si="161"/>
        <v>0</v>
      </c>
      <c r="T180" s="34">
        <f t="shared" si="162"/>
        <v>30</v>
      </c>
    </row>
    <row r="181" spans="2:20" s="12" customFormat="1" ht="18" customHeight="1" x14ac:dyDescent="0.3">
      <c r="B181" s="343"/>
      <c r="C181" s="344" t="s">
        <v>235</v>
      </c>
      <c r="D181" s="345"/>
      <c r="E181" s="345"/>
      <c r="F181" s="345"/>
      <c r="G181" s="346"/>
      <c r="H181" s="18">
        <f>SUM(H176:H180)</f>
        <v>15350250</v>
      </c>
      <c r="I181" s="18">
        <f t="shared" ref="I181:S181" si="165">SUM(I176:I180)</f>
        <v>1657827</v>
      </c>
      <c r="J181" s="18">
        <f t="shared" si="165"/>
        <v>-153502.5</v>
      </c>
      <c r="K181" s="18">
        <f t="shared" si="165"/>
        <v>15196747.5</v>
      </c>
      <c r="L181" s="18">
        <f t="shared" si="165"/>
        <v>16854574.5</v>
      </c>
      <c r="M181" s="18">
        <f t="shared" si="165"/>
        <v>0</v>
      </c>
      <c r="N181" s="18">
        <f t="shared" si="165"/>
        <v>0</v>
      </c>
      <c r="O181" s="18">
        <f t="shared" si="165"/>
        <v>0</v>
      </c>
      <c r="P181" s="18">
        <f t="shared" si="165"/>
        <v>17008077</v>
      </c>
      <c r="Q181" s="18">
        <f t="shared" si="165"/>
        <v>16854574.5</v>
      </c>
      <c r="R181" s="18">
        <f t="shared" si="165"/>
        <v>15350250</v>
      </c>
      <c r="S181" s="18">
        <f t="shared" si="165"/>
        <v>15196747.5</v>
      </c>
      <c r="T181" s="73"/>
    </row>
    <row r="182" spans="2:20" s="12" customFormat="1" ht="18" customHeight="1" x14ac:dyDescent="0.3">
      <c r="B182" s="347" t="s">
        <v>231</v>
      </c>
      <c r="C182" s="72"/>
      <c r="D182" s="72"/>
      <c r="E182" s="72"/>
      <c r="F182" s="72"/>
      <c r="G182" s="7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273"/>
      <c r="S182" s="18"/>
      <c r="T182" s="73"/>
    </row>
    <row r="183" spans="2:20" s="12" customFormat="1" ht="18" customHeight="1" x14ac:dyDescent="0.3">
      <c r="B183" s="348"/>
      <c r="C183" s="72"/>
      <c r="D183" s="72"/>
      <c r="E183" s="72"/>
      <c r="F183" s="72"/>
      <c r="G183" s="7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273"/>
      <c r="S183" s="18"/>
      <c r="T183" s="73"/>
    </row>
    <row r="184" spans="2:20" s="12" customFormat="1" ht="18" customHeight="1" x14ac:dyDescent="0.3">
      <c r="B184" s="348"/>
      <c r="C184" s="72"/>
      <c r="D184" s="72"/>
      <c r="E184" s="72"/>
      <c r="F184" s="72"/>
      <c r="G184" s="7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273"/>
      <c r="S184" s="18"/>
      <c r="T184" s="73"/>
    </row>
    <row r="185" spans="2:20" s="12" customFormat="1" ht="18" customHeight="1" x14ac:dyDescent="0.3">
      <c r="B185" s="348"/>
      <c r="C185" s="72"/>
      <c r="D185" s="72"/>
      <c r="E185" s="72"/>
      <c r="F185" s="72"/>
      <c r="G185" s="7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273"/>
      <c r="S185" s="18"/>
      <c r="T185" s="73"/>
    </row>
    <row r="186" spans="2:20" ht="18" customHeight="1" x14ac:dyDescent="0.3">
      <c r="B186" s="348"/>
      <c r="C186" s="17"/>
      <c r="D186" s="17"/>
      <c r="E186" s="17"/>
      <c r="F186" s="17"/>
      <c r="G186" s="17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273"/>
      <c r="S186" s="9"/>
      <c r="T186" s="26"/>
    </row>
    <row r="187" spans="2:20" ht="18" customHeight="1" x14ac:dyDescent="0.3">
      <c r="B187" s="349"/>
      <c r="C187" s="350" t="s">
        <v>236</v>
      </c>
      <c r="D187" s="351"/>
      <c r="E187" s="351"/>
      <c r="F187" s="351"/>
      <c r="G187" s="352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273"/>
      <c r="S187" s="9"/>
      <c r="T187" s="26"/>
    </row>
    <row r="188" spans="2:20" ht="18" customHeight="1" x14ac:dyDescent="0.3">
      <c r="B188" s="347" t="s">
        <v>429</v>
      </c>
      <c r="C188" s="17"/>
      <c r="D188" s="17"/>
      <c r="E188" s="17"/>
      <c r="F188" s="17"/>
      <c r="G188" s="17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273"/>
      <c r="S188" s="9"/>
      <c r="T188" s="26"/>
    </row>
    <row r="189" spans="2:20" ht="18" customHeight="1" x14ac:dyDescent="0.3">
      <c r="B189" s="348"/>
      <c r="C189" s="17"/>
      <c r="D189" s="17"/>
      <c r="E189" s="17"/>
      <c r="F189" s="17"/>
      <c r="G189" s="17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273"/>
      <c r="S189" s="9"/>
      <c r="T189" s="26"/>
    </row>
    <row r="190" spans="2:20" ht="18" customHeight="1" x14ac:dyDescent="0.3">
      <c r="B190" s="348"/>
      <c r="C190" s="17"/>
      <c r="D190" s="17"/>
      <c r="E190" s="17"/>
      <c r="F190" s="17"/>
      <c r="G190" s="17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273"/>
      <c r="S190" s="9"/>
      <c r="T190" s="26"/>
    </row>
    <row r="191" spans="2:20" ht="18" customHeight="1" x14ac:dyDescent="0.3">
      <c r="B191" s="348"/>
      <c r="C191" s="17"/>
      <c r="D191" s="17"/>
      <c r="E191" s="17"/>
      <c r="F191" s="17"/>
      <c r="G191" s="17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273"/>
      <c r="S191" s="9"/>
      <c r="T191" s="26"/>
    </row>
    <row r="192" spans="2:20" ht="18" customHeight="1" x14ac:dyDescent="0.3">
      <c r="B192" s="348"/>
      <c r="C192" s="17"/>
      <c r="D192" s="17"/>
      <c r="E192" s="17"/>
      <c r="F192" s="17"/>
      <c r="G192" s="17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273"/>
      <c r="S192" s="9"/>
      <c r="T192" s="26"/>
    </row>
    <row r="193" spans="2:20" ht="18" customHeight="1" x14ac:dyDescent="0.3">
      <c r="B193" s="348"/>
      <c r="C193" s="17"/>
      <c r="D193" s="17"/>
      <c r="E193" s="17"/>
      <c r="F193" s="17"/>
      <c r="G193" s="17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273"/>
      <c r="S193" s="9"/>
      <c r="T193" s="26"/>
    </row>
    <row r="194" spans="2:20" ht="18" customHeight="1" x14ac:dyDescent="0.3">
      <c r="B194" s="348"/>
      <c r="C194" s="17"/>
      <c r="D194" s="17"/>
      <c r="E194" s="17"/>
      <c r="F194" s="17"/>
      <c r="G194" s="17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273"/>
      <c r="S194" s="9"/>
      <c r="T194" s="26"/>
    </row>
    <row r="195" spans="2:20" ht="18" customHeight="1" x14ac:dyDescent="0.3">
      <c r="B195" s="349"/>
      <c r="C195" s="350" t="s">
        <v>237</v>
      </c>
      <c r="D195" s="351"/>
      <c r="E195" s="351"/>
      <c r="F195" s="351"/>
      <c r="G195" s="352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273"/>
      <c r="S195" s="9"/>
      <c r="T195" s="26"/>
    </row>
    <row r="196" spans="2:20" ht="16.5" customHeight="1" x14ac:dyDescent="0.3">
      <c r="B196" s="340" t="s">
        <v>0</v>
      </c>
      <c r="C196" s="340"/>
      <c r="D196" s="340"/>
      <c r="E196" s="340"/>
      <c r="F196" s="340"/>
      <c r="G196" s="340"/>
      <c r="H196" s="36" cm="1">
        <f t="array" ref="H196">SUM(H7:H195/2)</f>
        <v>3277859829</v>
      </c>
      <c r="I196" s="36" cm="1">
        <f t="array" ref="I196">SUM(I7:I195/2)</f>
        <v>511726046.94000018</v>
      </c>
      <c r="J196" s="36" cm="1">
        <f t="array" ref="J196">SUM(J7:J195/2)</f>
        <v>-77388928.270000011</v>
      </c>
      <c r="K196" s="36" cm="1">
        <f t="array" ref="K196">SUM(K7:K195/2)</f>
        <v>3200470900.7300019</v>
      </c>
      <c r="L196" s="36" cm="1">
        <f t="array" ref="L196">SUM(L7:L195/2)</f>
        <v>3712196947.6699991</v>
      </c>
      <c r="M196" s="36" cm="1">
        <f t="array" ref="M196">SUM(M7:M195/2)</f>
        <v>3043902549</v>
      </c>
      <c r="N196" s="36" cm="1">
        <f t="array" ref="N196">SUM(N7:N195/2)</f>
        <v>2693388252.6200008</v>
      </c>
      <c r="O196" s="36" cm="1">
        <f t="array" ref="O196">SUM(O7:O195/2)</f>
        <v>2631222735.6050005</v>
      </c>
      <c r="P196" s="36" cm="1">
        <f t="array" ref="P196">SUM(P7:P195/2)</f>
        <v>674802445.40000021</v>
      </c>
      <c r="Q196" s="36" cm="1">
        <f t="array" ref="Q196">SUM(Q7:Q195/2)</f>
        <v>660549309.14499998</v>
      </c>
      <c r="R196" s="274" cm="1">
        <f t="array" ref="R196">SUM(R7:R195/2)</f>
        <v>584471576.37999988</v>
      </c>
      <c r="S196" s="36" cm="1">
        <f t="array" ref="S196">SUM(S7:S195/2)</f>
        <v>570148167.15500009</v>
      </c>
      <c r="T196" s="26"/>
    </row>
    <row r="198" spans="2:20" x14ac:dyDescent="0.3">
      <c r="M198" s="8"/>
      <c r="N198" s="8"/>
      <c r="O198" s="8"/>
      <c r="S198" s="8"/>
    </row>
    <row r="199" spans="2:20" ht="21" x14ac:dyDescent="0.35">
      <c r="M199" s="7"/>
      <c r="N199" s="276">
        <f>+N196/H196</f>
        <v>0.82169110124568445</v>
      </c>
      <c r="O199" s="27"/>
    </row>
    <row r="200" spans="2:20" x14ac:dyDescent="0.3">
      <c r="K200" s="28"/>
      <c r="O200" s="28"/>
      <c r="P200" s="8"/>
    </row>
    <row r="201" spans="2:20" x14ac:dyDescent="0.3">
      <c r="S201" s="8"/>
    </row>
    <row r="203" spans="2:20" x14ac:dyDescent="0.3">
      <c r="P203" s="8"/>
    </row>
    <row r="205" spans="2:20" x14ac:dyDescent="0.3">
      <c r="P205" s="8"/>
    </row>
    <row r="216" spans="9:12" x14ac:dyDescent="0.3">
      <c r="I216" s="71"/>
    </row>
    <row r="217" spans="9:12" x14ac:dyDescent="0.3">
      <c r="I217" s="8"/>
    </row>
    <row r="218" spans="9:12" x14ac:dyDescent="0.3">
      <c r="K218" s="8"/>
    </row>
    <row r="220" spans="9:12" x14ac:dyDescent="0.3">
      <c r="K220" s="8"/>
    </row>
    <row r="222" spans="9:12" x14ac:dyDescent="0.3">
      <c r="L222" s="71"/>
    </row>
  </sheetData>
  <mergeCells count="55">
    <mergeCell ref="A2:D3"/>
    <mergeCell ref="E2:P2"/>
    <mergeCell ref="Q2:T3"/>
    <mergeCell ref="E3:P3"/>
    <mergeCell ref="C4:D4"/>
    <mergeCell ref="M4:T4"/>
    <mergeCell ref="B7:B11"/>
    <mergeCell ref="C11:G11"/>
    <mergeCell ref="B12:B14"/>
    <mergeCell ref="C14:G14"/>
    <mergeCell ref="B15:B18"/>
    <mergeCell ref="C18:G18"/>
    <mergeCell ref="B19:B20"/>
    <mergeCell ref="C20:G20"/>
    <mergeCell ref="B21:B46"/>
    <mergeCell ref="C46:G46"/>
    <mergeCell ref="B47:B67"/>
    <mergeCell ref="C67:G67"/>
    <mergeCell ref="B68:B84"/>
    <mergeCell ref="C84:G84"/>
    <mergeCell ref="B85:B95"/>
    <mergeCell ref="C95:G95"/>
    <mergeCell ref="B96:B102"/>
    <mergeCell ref="C102:G102"/>
    <mergeCell ref="B103:B105"/>
    <mergeCell ref="C105:G105"/>
    <mergeCell ref="B106:B117"/>
    <mergeCell ref="C117:G117"/>
    <mergeCell ref="B118:B122"/>
    <mergeCell ref="C122:G122"/>
    <mergeCell ref="B123:B131"/>
    <mergeCell ref="C131:G131"/>
    <mergeCell ref="B132:B140"/>
    <mergeCell ref="C140:G140"/>
    <mergeCell ref="B141:B145"/>
    <mergeCell ref="C145:G145"/>
    <mergeCell ref="B146:B154"/>
    <mergeCell ref="C154:G154"/>
    <mergeCell ref="B155:B159"/>
    <mergeCell ref="C159:G159"/>
    <mergeCell ref="B160:B165"/>
    <mergeCell ref="C165:G165"/>
    <mergeCell ref="B166:B167"/>
    <mergeCell ref="C167:G167"/>
    <mergeCell ref="B168:B169"/>
    <mergeCell ref="C169:G169"/>
    <mergeCell ref="B170:B175"/>
    <mergeCell ref="C175:G175"/>
    <mergeCell ref="B196:G196"/>
    <mergeCell ref="B176:B181"/>
    <mergeCell ref="C181:G181"/>
    <mergeCell ref="B182:B187"/>
    <mergeCell ref="C187:G187"/>
    <mergeCell ref="B188:B195"/>
    <mergeCell ref="C195:G19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59"/>
  <sheetViews>
    <sheetView showGridLines="0" tabSelected="1" zoomScale="90" zoomScaleNormal="90" workbookViewId="0">
      <pane xSplit="1" ySplit="6" topLeftCell="B188" activePane="bottomRight" state="frozen"/>
      <selection pane="topRight" activeCell="B1" sqref="B1"/>
      <selection pane="bottomLeft" activeCell="A7" sqref="A7"/>
      <selection pane="bottomRight" activeCell="F202" sqref="F202"/>
    </sheetView>
  </sheetViews>
  <sheetFormatPr baseColWidth="10" defaultColWidth="11.42578125" defaultRowHeight="15" x14ac:dyDescent="0.3"/>
  <cols>
    <col min="1" max="1" width="2.7109375" style="2" customWidth="1"/>
    <col min="2" max="2" width="25.85546875" style="2" customWidth="1"/>
    <col min="3" max="3" width="10.5703125" style="2" customWidth="1"/>
    <col min="4" max="4" width="19.85546875" style="2" bestFit="1" customWidth="1"/>
    <col min="5" max="7" width="13.85546875" style="3" customWidth="1"/>
    <col min="8" max="8" width="15.5703125" style="2" customWidth="1"/>
    <col min="9" max="10" width="13.85546875" style="2" customWidth="1"/>
    <col min="11" max="12" width="15.5703125" style="2" customWidth="1"/>
    <col min="13" max="15" width="16.140625" style="2" customWidth="1"/>
    <col min="16" max="19" width="13.85546875" style="2" customWidth="1"/>
    <col min="20" max="20" width="13.5703125" style="2" customWidth="1"/>
    <col min="21" max="21" width="18.7109375" style="2" customWidth="1"/>
    <col min="22" max="22" width="15" style="2" bestFit="1" customWidth="1"/>
    <col min="23" max="16384" width="11.42578125" style="2"/>
  </cols>
  <sheetData>
    <row r="1" spans="1:20" ht="15.75" thickBot="1" x14ac:dyDescent="0.35"/>
    <row r="2" spans="1:20" s="19" customFormat="1" ht="55.5" customHeight="1" x14ac:dyDescent="0.25">
      <c r="A2" s="357"/>
      <c r="B2" s="358"/>
      <c r="C2" s="358"/>
      <c r="D2" s="359"/>
      <c r="E2" s="363" t="s">
        <v>93</v>
      </c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4" t="s">
        <v>96</v>
      </c>
      <c r="R2" s="365"/>
      <c r="S2" s="366"/>
      <c r="T2" s="367"/>
    </row>
    <row r="3" spans="1:20" s="19" customFormat="1" ht="43.5" customHeight="1" thickBot="1" x14ac:dyDescent="0.3">
      <c r="A3" s="360"/>
      <c r="B3" s="361"/>
      <c r="C3" s="361"/>
      <c r="D3" s="362"/>
      <c r="E3" s="363" t="s">
        <v>95</v>
      </c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8"/>
      <c r="R3" s="369"/>
      <c r="S3" s="369"/>
      <c r="T3" s="370"/>
    </row>
    <row r="4" spans="1:20" s="19" customFormat="1" ht="25.5" customHeight="1" x14ac:dyDescent="0.25">
      <c r="A4" s="20" t="s">
        <v>94</v>
      </c>
      <c r="B4" s="21"/>
      <c r="C4" s="371">
        <f ca="1">TODAY()</f>
        <v>45895</v>
      </c>
      <c r="D4" s="371"/>
      <c r="M4" s="372"/>
      <c r="N4" s="372"/>
      <c r="O4" s="372"/>
      <c r="P4" s="372"/>
      <c r="Q4" s="372"/>
      <c r="R4" s="372"/>
      <c r="S4" s="372"/>
      <c r="T4" s="372"/>
    </row>
    <row r="5" spans="1:20" ht="6" customHeight="1" x14ac:dyDescent="0.3"/>
    <row r="6" spans="1:20" s="7" customFormat="1" ht="43.5" customHeight="1" x14ac:dyDescent="0.3">
      <c r="B6" s="29" t="s">
        <v>10</v>
      </c>
      <c r="C6" s="29" t="s">
        <v>16</v>
      </c>
      <c r="D6" s="29" t="s">
        <v>1</v>
      </c>
      <c r="E6" s="30" t="s">
        <v>23</v>
      </c>
      <c r="F6" s="30" t="s">
        <v>24</v>
      </c>
      <c r="G6" s="30" t="s">
        <v>73</v>
      </c>
      <c r="H6" s="77" t="s">
        <v>19</v>
      </c>
      <c r="I6" s="29" t="s">
        <v>20</v>
      </c>
      <c r="J6" s="29" t="s">
        <v>21</v>
      </c>
      <c r="K6" s="31" t="s">
        <v>44</v>
      </c>
      <c r="L6" s="29" t="s">
        <v>22</v>
      </c>
      <c r="M6" s="32" t="s">
        <v>80</v>
      </c>
      <c r="N6" s="77" t="s">
        <v>227</v>
      </c>
      <c r="O6" s="31" t="s">
        <v>81</v>
      </c>
      <c r="P6" s="29" t="s">
        <v>79</v>
      </c>
      <c r="Q6" s="31" t="s">
        <v>83</v>
      </c>
      <c r="R6" s="272" t="s">
        <v>228</v>
      </c>
      <c r="S6" s="31" t="s">
        <v>82</v>
      </c>
      <c r="T6" s="29" t="s">
        <v>43</v>
      </c>
    </row>
    <row r="7" spans="1:20" ht="15" customHeight="1" x14ac:dyDescent="0.3">
      <c r="B7" s="355" t="s">
        <v>63</v>
      </c>
      <c r="C7" s="4" t="s">
        <v>57</v>
      </c>
      <c r="D7" s="4" t="s">
        <v>37</v>
      </c>
      <c r="E7" s="5">
        <v>44879</v>
      </c>
      <c r="F7" s="5">
        <v>44879</v>
      </c>
      <c r="G7" s="5">
        <v>44761</v>
      </c>
      <c r="H7" s="6">
        <v>7500000</v>
      </c>
      <c r="I7" s="6">
        <f>H7*0.18</f>
        <v>1350000</v>
      </c>
      <c r="J7" s="6">
        <f>+-H7*3%</f>
        <v>-225000</v>
      </c>
      <c r="K7" s="6">
        <f>+H7+J7</f>
        <v>7275000</v>
      </c>
      <c r="L7" s="6">
        <f>H7+I7+J7</f>
        <v>8625000</v>
      </c>
      <c r="M7" s="6">
        <v>8625000</v>
      </c>
      <c r="N7" s="6">
        <f>+M7-I7-J7</f>
        <v>7500000</v>
      </c>
      <c r="O7" s="6">
        <f>+M7-I7</f>
        <v>7275000</v>
      </c>
      <c r="P7" s="6">
        <f>+L7-M7</f>
        <v>0</v>
      </c>
      <c r="Q7" s="16">
        <f>P7</f>
        <v>0</v>
      </c>
      <c r="R7" s="268">
        <f>H7-N7</f>
        <v>0</v>
      </c>
      <c r="S7" s="16">
        <f t="shared" ref="S7:S13" si="0">Q7</f>
        <v>0</v>
      </c>
      <c r="T7" s="33">
        <f>+F7+30</f>
        <v>44909</v>
      </c>
    </row>
    <row r="8" spans="1:20" x14ac:dyDescent="0.3">
      <c r="B8" s="355"/>
      <c r="C8" s="4" t="s">
        <v>55</v>
      </c>
      <c r="D8" s="11">
        <v>44805</v>
      </c>
      <c r="E8" s="5">
        <v>44806</v>
      </c>
      <c r="F8" s="5">
        <v>44806</v>
      </c>
      <c r="G8" s="5">
        <v>44895</v>
      </c>
      <c r="H8" s="6">
        <v>8750000</v>
      </c>
      <c r="I8" s="6">
        <f>H8*0.18</f>
        <v>1575000</v>
      </c>
      <c r="J8" s="6">
        <f>+-H8*3%</f>
        <v>-262500</v>
      </c>
      <c r="K8" s="6">
        <f>+H8+J8</f>
        <v>8487500</v>
      </c>
      <c r="L8" s="6">
        <f>H8+I8+J8</f>
        <v>10062500</v>
      </c>
      <c r="M8" s="6">
        <v>10062500</v>
      </c>
      <c r="N8" s="6">
        <f t="shared" ref="N8:N43" si="1">+M8-I8-J8</f>
        <v>8750000</v>
      </c>
      <c r="O8" s="6">
        <f t="shared" ref="O8:O19" si="2">+M8-I8</f>
        <v>8487500</v>
      </c>
      <c r="P8" s="6">
        <f>+L8-M8</f>
        <v>0</v>
      </c>
      <c r="Q8" s="16">
        <f t="shared" ref="Q8:Q13" si="3">P8</f>
        <v>0</v>
      </c>
      <c r="R8" s="268">
        <f t="shared" ref="R8:R93" si="4">H8-N8</f>
        <v>0</v>
      </c>
      <c r="S8" s="16">
        <f t="shared" si="0"/>
        <v>0</v>
      </c>
      <c r="T8" s="33">
        <f>+F8+30</f>
        <v>44836</v>
      </c>
    </row>
    <row r="9" spans="1:20" x14ac:dyDescent="0.3">
      <c r="B9" s="355"/>
      <c r="C9" s="4" t="s">
        <v>56</v>
      </c>
      <c r="D9" s="11">
        <v>44866</v>
      </c>
      <c r="E9" s="5">
        <v>44879</v>
      </c>
      <c r="F9" s="5">
        <v>44879</v>
      </c>
      <c r="G9" s="5">
        <v>44908</v>
      </c>
      <c r="H9" s="6">
        <v>8750000</v>
      </c>
      <c r="I9" s="6">
        <f>H9*0.18</f>
        <v>1575000</v>
      </c>
      <c r="J9" s="6">
        <f>+-H9*3%</f>
        <v>-262500</v>
      </c>
      <c r="K9" s="6">
        <f>+H9+J9</f>
        <v>8487500</v>
      </c>
      <c r="L9" s="6">
        <f>H9+I9+J9</f>
        <v>10062500</v>
      </c>
      <c r="M9" s="6">
        <v>10062500</v>
      </c>
      <c r="N9" s="6">
        <f t="shared" si="1"/>
        <v>8750000</v>
      </c>
      <c r="O9" s="6">
        <f t="shared" si="2"/>
        <v>8487500</v>
      </c>
      <c r="P9" s="6">
        <f>+L9-M9</f>
        <v>0</v>
      </c>
      <c r="Q9" s="16">
        <f t="shared" si="3"/>
        <v>0</v>
      </c>
      <c r="R9" s="268">
        <f t="shared" si="4"/>
        <v>0</v>
      </c>
      <c r="S9" s="16">
        <f t="shared" si="0"/>
        <v>0</v>
      </c>
      <c r="T9" s="33">
        <f>+F9+30</f>
        <v>44909</v>
      </c>
    </row>
    <row r="10" spans="1:20" x14ac:dyDescent="0.3">
      <c r="B10" s="355"/>
      <c r="C10" s="4" t="s">
        <v>71</v>
      </c>
      <c r="D10" s="11">
        <v>45017</v>
      </c>
      <c r="E10" s="5">
        <v>45036</v>
      </c>
      <c r="F10" s="5">
        <v>45036</v>
      </c>
      <c r="G10" s="5">
        <v>45072</v>
      </c>
      <c r="H10" s="6">
        <v>8500000</v>
      </c>
      <c r="I10" s="6">
        <f>H10*0.18</f>
        <v>1530000</v>
      </c>
      <c r="J10" s="6">
        <f>+-H10*3%</f>
        <v>-255000</v>
      </c>
      <c r="K10" s="6">
        <f>+H10+J10</f>
        <v>8245000</v>
      </c>
      <c r="L10" s="6">
        <f>H10+I10+J10</f>
        <v>9775000</v>
      </c>
      <c r="M10" s="6">
        <v>9775000</v>
      </c>
      <c r="N10" s="6">
        <f t="shared" si="1"/>
        <v>8500000</v>
      </c>
      <c r="O10" s="6">
        <f t="shared" si="2"/>
        <v>8245000</v>
      </c>
      <c r="P10" s="6">
        <f>+L10-M10</f>
        <v>0</v>
      </c>
      <c r="Q10" s="16">
        <f t="shared" si="3"/>
        <v>0</v>
      </c>
      <c r="R10" s="268">
        <f t="shared" si="4"/>
        <v>0</v>
      </c>
      <c r="S10" s="16">
        <f t="shared" si="0"/>
        <v>0</v>
      </c>
      <c r="T10" s="33">
        <f>+F10+30</f>
        <v>45066</v>
      </c>
    </row>
    <row r="11" spans="1:20" x14ac:dyDescent="0.3">
      <c r="B11" s="355"/>
      <c r="C11" s="356" t="s">
        <v>60</v>
      </c>
      <c r="D11" s="356"/>
      <c r="E11" s="356"/>
      <c r="F11" s="356"/>
      <c r="G11" s="356"/>
      <c r="H11" s="9">
        <f>+SUM(H7:H10)</f>
        <v>33500000</v>
      </c>
      <c r="I11" s="9">
        <f t="shared" ref="I11:S11" si="5">+SUM(I7:I10)</f>
        <v>6030000</v>
      </c>
      <c r="J11" s="9">
        <f t="shared" si="5"/>
        <v>-1005000</v>
      </c>
      <c r="K11" s="9">
        <f t="shared" si="5"/>
        <v>32495000</v>
      </c>
      <c r="L11" s="9">
        <f t="shared" si="5"/>
        <v>38525000</v>
      </c>
      <c r="M11" s="9">
        <f>+SUM(M7:M10)</f>
        <v>38525000</v>
      </c>
      <c r="N11" s="9">
        <f>+SUM(N7:N10)</f>
        <v>33500000</v>
      </c>
      <c r="O11" s="9">
        <f>+SUM(O7:O10)</f>
        <v>32495000</v>
      </c>
      <c r="P11" s="9">
        <f t="shared" si="5"/>
        <v>0</v>
      </c>
      <c r="Q11" s="9">
        <f t="shared" si="5"/>
        <v>0</v>
      </c>
      <c r="R11" s="273">
        <f t="shared" si="5"/>
        <v>0</v>
      </c>
      <c r="S11" s="9">
        <f t="shared" si="5"/>
        <v>0</v>
      </c>
      <c r="T11" s="26"/>
    </row>
    <row r="12" spans="1:20" x14ac:dyDescent="0.3">
      <c r="B12" s="355" t="s">
        <v>78</v>
      </c>
      <c r="C12" s="4" t="s">
        <v>58</v>
      </c>
      <c r="D12" s="4" t="s">
        <v>37</v>
      </c>
      <c r="E12" s="5">
        <v>44888</v>
      </c>
      <c r="F12" s="5">
        <v>44946</v>
      </c>
      <c r="G12" s="5">
        <v>44888</v>
      </c>
      <c r="H12" s="6">
        <v>12000000</v>
      </c>
      <c r="I12" s="6">
        <v>0</v>
      </c>
      <c r="J12" s="6">
        <v>0</v>
      </c>
      <c r="K12" s="6">
        <f>+H12+J12</f>
        <v>12000000</v>
      </c>
      <c r="L12" s="6">
        <f>H12+I12+J12</f>
        <v>12000000</v>
      </c>
      <c r="M12" s="6">
        <v>12000000</v>
      </c>
      <c r="N12" s="6">
        <f t="shared" si="1"/>
        <v>12000000</v>
      </c>
      <c r="O12" s="6">
        <f t="shared" si="2"/>
        <v>12000000</v>
      </c>
      <c r="P12" s="6">
        <f>+L12-M12</f>
        <v>0</v>
      </c>
      <c r="Q12" s="16">
        <f t="shared" si="3"/>
        <v>0</v>
      </c>
      <c r="R12" s="268">
        <f t="shared" si="4"/>
        <v>0</v>
      </c>
      <c r="S12" s="16">
        <f t="shared" si="0"/>
        <v>0</v>
      </c>
      <c r="T12" s="33">
        <f>+F12+30</f>
        <v>44976</v>
      </c>
    </row>
    <row r="13" spans="1:20" x14ac:dyDescent="0.3">
      <c r="B13" s="355"/>
      <c r="C13" s="4" t="s">
        <v>69</v>
      </c>
      <c r="D13" s="11">
        <v>44986</v>
      </c>
      <c r="E13" s="5">
        <v>44993</v>
      </c>
      <c r="F13" s="5">
        <v>44993</v>
      </c>
      <c r="G13" s="5">
        <v>45015</v>
      </c>
      <c r="H13" s="6">
        <v>28000000</v>
      </c>
      <c r="I13" s="6">
        <v>0</v>
      </c>
      <c r="J13" s="6">
        <v>0</v>
      </c>
      <c r="K13" s="6">
        <f>+H13+J13</f>
        <v>28000000</v>
      </c>
      <c r="L13" s="6">
        <f>H13+I13+J13</f>
        <v>28000000</v>
      </c>
      <c r="M13" s="10">
        <v>28000000</v>
      </c>
      <c r="N13" s="6">
        <f t="shared" si="1"/>
        <v>28000000</v>
      </c>
      <c r="O13" s="6">
        <f t="shared" si="2"/>
        <v>28000000</v>
      </c>
      <c r="P13" s="6">
        <f>+L13-M13</f>
        <v>0</v>
      </c>
      <c r="Q13" s="16">
        <f t="shared" si="3"/>
        <v>0</v>
      </c>
      <c r="R13" s="268">
        <f t="shared" si="4"/>
        <v>0</v>
      </c>
      <c r="S13" s="16">
        <f t="shared" si="0"/>
        <v>0</v>
      </c>
      <c r="T13" s="33">
        <f>+F13+30</f>
        <v>45023</v>
      </c>
    </row>
    <row r="14" spans="1:20" x14ac:dyDescent="0.3">
      <c r="B14" s="355"/>
      <c r="C14" s="356" t="s">
        <v>59</v>
      </c>
      <c r="D14" s="356"/>
      <c r="E14" s="356"/>
      <c r="F14" s="356"/>
      <c r="G14" s="356"/>
      <c r="H14" s="9">
        <f>+SUM(H12:H13)</f>
        <v>40000000</v>
      </c>
      <c r="I14" s="9">
        <f t="shared" ref="I14:S14" si="6">+SUM(I12:I13)</f>
        <v>0</v>
      </c>
      <c r="J14" s="9">
        <f t="shared" si="6"/>
        <v>0</v>
      </c>
      <c r="K14" s="9">
        <f t="shared" si="6"/>
        <v>40000000</v>
      </c>
      <c r="L14" s="9">
        <f t="shared" si="6"/>
        <v>40000000</v>
      </c>
      <c r="M14" s="9">
        <f>+SUM(M12:M13)</f>
        <v>40000000</v>
      </c>
      <c r="N14" s="9">
        <f>+SUM(N12:N13)</f>
        <v>40000000</v>
      </c>
      <c r="O14" s="9">
        <f>+SUM(O12:O13)</f>
        <v>40000000</v>
      </c>
      <c r="P14" s="9">
        <f t="shared" si="6"/>
        <v>0</v>
      </c>
      <c r="Q14" s="9">
        <f t="shared" si="6"/>
        <v>0</v>
      </c>
      <c r="R14" s="273">
        <f t="shared" si="6"/>
        <v>0</v>
      </c>
      <c r="S14" s="9">
        <f t="shared" si="6"/>
        <v>0</v>
      </c>
      <c r="T14" s="33"/>
    </row>
    <row r="15" spans="1:20" x14ac:dyDescent="0.3">
      <c r="B15" s="355" t="s">
        <v>64</v>
      </c>
      <c r="C15" s="4" t="s">
        <v>61</v>
      </c>
      <c r="D15" s="4" t="s">
        <v>37</v>
      </c>
      <c r="E15" s="5">
        <v>44900</v>
      </c>
      <c r="F15" s="5">
        <v>44901</v>
      </c>
      <c r="G15" s="5">
        <v>44910</v>
      </c>
      <c r="H15" s="6">
        <v>6210000</v>
      </c>
      <c r="I15" s="6">
        <f>H15*0.18</f>
        <v>1117800</v>
      </c>
      <c r="J15" s="6">
        <f>+-H15*3%</f>
        <v>-186300</v>
      </c>
      <c r="K15" s="6">
        <f>+H15+J15</f>
        <v>6023700</v>
      </c>
      <c r="L15" s="6">
        <f>H15+I15+J15</f>
        <v>7141500</v>
      </c>
      <c r="M15" s="6">
        <v>7141500</v>
      </c>
      <c r="N15" s="6">
        <f t="shared" si="1"/>
        <v>6210000</v>
      </c>
      <c r="O15" s="6">
        <f t="shared" si="2"/>
        <v>6023700</v>
      </c>
      <c r="P15" s="6">
        <f>+L15-M15</f>
        <v>0</v>
      </c>
      <c r="Q15" s="16">
        <f>P15</f>
        <v>0</v>
      </c>
      <c r="R15" s="268">
        <f t="shared" si="4"/>
        <v>0</v>
      </c>
      <c r="S15" s="16">
        <f>Q15</f>
        <v>0</v>
      </c>
      <c r="T15" s="33">
        <f>+F15+30</f>
        <v>44931</v>
      </c>
    </row>
    <row r="16" spans="1:20" x14ac:dyDescent="0.3">
      <c r="B16" s="355"/>
      <c r="C16" s="4" t="s">
        <v>70</v>
      </c>
      <c r="D16" s="11">
        <v>44986</v>
      </c>
      <c r="E16" s="5">
        <v>45021</v>
      </c>
      <c r="F16" s="5">
        <v>45021</v>
      </c>
      <c r="G16" s="5">
        <v>45036</v>
      </c>
      <c r="H16" s="6">
        <v>7245000</v>
      </c>
      <c r="I16" s="6">
        <f>H16*0.18</f>
        <v>1304100</v>
      </c>
      <c r="J16" s="6">
        <f>+-H16*3%</f>
        <v>-217350</v>
      </c>
      <c r="K16" s="6">
        <f>+H16+J16</f>
        <v>7027650</v>
      </c>
      <c r="L16" s="6">
        <f>H16+I16+J16</f>
        <v>8331750</v>
      </c>
      <c r="M16" s="6">
        <v>8331750</v>
      </c>
      <c r="N16" s="6">
        <f t="shared" si="1"/>
        <v>7245000</v>
      </c>
      <c r="O16" s="6">
        <f t="shared" si="2"/>
        <v>7027650</v>
      </c>
      <c r="P16" s="6">
        <f>+L16-M16</f>
        <v>0</v>
      </c>
      <c r="Q16" s="16">
        <f t="shared" ref="Q16:Q19" si="7">P16</f>
        <v>0</v>
      </c>
      <c r="R16" s="268">
        <f t="shared" si="4"/>
        <v>0</v>
      </c>
      <c r="S16" s="16">
        <f>Q16</f>
        <v>0</v>
      </c>
      <c r="T16" s="33">
        <f>+F16+30</f>
        <v>45051</v>
      </c>
    </row>
    <row r="17" spans="2:20" x14ac:dyDescent="0.3">
      <c r="B17" s="355"/>
      <c r="C17" s="4" t="s">
        <v>72</v>
      </c>
      <c r="D17" s="11">
        <v>45017</v>
      </c>
      <c r="E17" s="5">
        <v>45036</v>
      </c>
      <c r="F17" s="5">
        <v>45036</v>
      </c>
      <c r="G17" s="5">
        <v>45054</v>
      </c>
      <c r="H17" s="6">
        <v>7245000</v>
      </c>
      <c r="I17" s="6">
        <f>H17*0.18</f>
        <v>1304100</v>
      </c>
      <c r="J17" s="6">
        <f>+-H17*3%</f>
        <v>-217350</v>
      </c>
      <c r="K17" s="6">
        <f>+H17+J17</f>
        <v>7027650</v>
      </c>
      <c r="L17" s="6">
        <f>H17+I17+J17</f>
        <v>8331750</v>
      </c>
      <c r="M17" s="6">
        <v>8331750</v>
      </c>
      <c r="N17" s="6">
        <f t="shared" si="1"/>
        <v>7245000</v>
      </c>
      <c r="O17" s="6">
        <f t="shared" si="2"/>
        <v>7027650</v>
      </c>
      <c r="P17" s="6">
        <f>+L17-M17</f>
        <v>0</v>
      </c>
      <c r="Q17" s="16">
        <f t="shared" si="7"/>
        <v>0</v>
      </c>
      <c r="R17" s="268">
        <f t="shared" si="4"/>
        <v>0</v>
      </c>
      <c r="S17" s="16">
        <f>Q17</f>
        <v>0</v>
      </c>
      <c r="T17" s="33">
        <f>+F17+30</f>
        <v>45066</v>
      </c>
    </row>
    <row r="18" spans="2:20" x14ac:dyDescent="0.3">
      <c r="B18" s="355"/>
      <c r="C18" s="356" t="s">
        <v>67</v>
      </c>
      <c r="D18" s="356"/>
      <c r="E18" s="356"/>
      <c r="F18" s="356"/>
      <c r="G18" s="356"/>
      <c r="H18" s="9">
        <f>+SUM(H15:H17)</f>
        <v>20700000</v>
      </c>
      <c r="I18" s="9">
        <f t="shared" ref="I18:P18" si="8">+SUM(I15:I17)</f>
        <v>3726000</v>
      </c>
      <c r="J18" s="9">
        <f t="shared" si="8"/>
        <v>-621000</v>
      </c>
      <c r="K18" s="9">
        <f t="shared" si="8"/>
        <v>20079000</v>
      </c>
      <c r="L18" s="9">
        <f t="shared" si="8"/>
        <v>23805000</v>
      </c>
      <c r="M18" s="9">
        <f t="shared" si="8"/>
        <v>23805000</v>
      </c>
      <c r="N18" s="9">
        <f t="shared" si="8"/>
        <v>20700000</v>
      </c>
      <c r="O18" s="9">
        <f t="shared" si="8"/>
        <v>20079000</v>
      </c>
      <c r="P18" s="9">
        <f t="shared" si="8"/>
        <v>0</v>
      </c>
      <c r="Q18" s="16">
        <f t="shared" si="7"/>
        <v>0</v>
      </c>
      <c r="R18" s="268">
        <f t="shared" si="4"/>
        <v>0</v>
      </c>
      <c r="S18" s="16">
        <f>Q18</f>
        <v>0</v>
      </c>
      <c r="T18" s="33"/>
    </row>
    <row r="19" spans="2:20" x14ac:dyDescent="0.3">
      <c r="B19" s="355" t="s">
        <v>65</v>
      </c>
      <c r="C19" s="4" t="s">
        <v>66</v>
      </c>
      <c r="D19" s="11">
        <v>44896</v>
      </c>
      <c r="E19" s="5">
        <v>44914</v>
      </c>
      <c r="F19" s="5">
        <v>44917</v>
      </c>
      <c r="G19" s="5">
        <v>44946</v>
      </c>
      <c r="H19" s="6">
        <v>3300000</v>
      </c>
      <c r="I19" s="6">
        <f>H19*0.18</f>
        <v>594000</v>
      </c>
      <c r="J19" s="6">
        <f>+-H19*3%</f>
        <v>-99000</v>
      </c>
      <c r="K19" s="6">
        <f>+H19+J19</f>
        <v>3201000</v>
      </c>
      <c r="L19" s="6">
        <f>H19+I19+J19</f>
        <v>3795000</v>
      </c>
      <c r="M19" s="6">
        <v>3795000</v>
      </c>
      <c r="N19" s="6">
        <f t="shared" si="1"/>
        <v>3300000</v>
      </c>
      <c r="O19" s="6">
        <f t="shared" si="2"/>
        <v>3201000</v>
      </c>
      <c r="P19" s="6">
        <f>+L19-M19</f>
        <v>0</v>
      </c>
      <c r="Q19" s="16">
        <f t="shared" si="7"/>
        <v>0</v>
      </c>
      <c r="R19" s="268">
        <f t="shared" si="4"/>
        <v>0</v>
      </c>
      <c r="S19" s="16">
        <f>Q19</f>
        <v>0</v>
      </c>
      <c r="T19" s="33">
        <f>+F19+30</f>
        <v>44947</v>
      </c>
    </row>
    <row r="20" spans="2:20" x14ac:dyDescent="0.3">
      <c r="B20" s="355"/>
      <c r="C20" s="356" t="s">
        <v>74</v>
      </c>
      <c r="D20" s="356"/>
      <c r="E20" s="356"/>
      <c r="F20" s="356"/>
      <c r="G20" s="356"/>
      <c r="H20" s="9">
        <f t="shared" ref="H20:S20" si="9">+SUM(H19:H19)</f>
        <v>3300000</v>
      </c>
      <c r="I20" s="9">
        <f t="shared" si="9"/>
        <v>594000</v>
      </c>
      <c r="J20" s="9">
        <f t="shared" si="9"/>
        <v>-99000</v>
      </c>
      <c r="K20" s="9">
        <f t="shared" si="9"/>
        <v>3201000</v>
      </c>
      <c r="L20" s="9">
        <f t="shared" si="9"/>
        <v>3795000</v>
      </c>
      <c r="M20" s="9">
        <f t="shared" si="9"/>
        <v>3795000</v>
      </c>
      <c r="N20" s="9">
        <f t="shared" si="9"/>
        <v>3300000</v>
      </c>
      <c r="O20" s="9">
        <f t="shared" si="9"/>
        <v>3201000</v>
      </c>
      <c r="P20" s="9">
        <f t="shared" si="9"/>
        <v>0</v>
      </c>
      <c r="Q20" s="9">
        <f t="shared" si="9"/>
        <v>0</v>
      </c>
      <c r="R20" s="273">
        <f t="shared" si="9"/>
        <v>0</v>
      </c>
      <c r="S20" s="9">
        <f t="shared" si="9"/>
        <v>0</v>
      </c>
      <c r="T20" s="33"/>
    </row>
    <row r="21" spans="2:20" ht="15" customHeight="1" x14ac:dyDescent="0.3">
      <c r="B21" s="355" t="s">
        <v>34</v>
      </c>
      <c r="C21" s="4" t="s">
        <v>11</v>
      </c>
      <c r="D21" s="4" t="s">
        <v>37</v>
      </c>
      <c r="E21" s="5">
        <v>45091</v>
      </c>
      <c r="F21" s="5">
        <v>45097</v>
      </c>
      <c r="G21" s="5">
        <v>45113</v>
      </c>
      <c r="H21" s="6">
        <v>265546395</v>
      </c>
      <c r="I21" s="6">
        <v>47798351.100000001</v>
      </c>
      <c r="J21" s="6"/>
      <c r="K21" s="6">
        <f t="shared" ref="K21:K40" si="10">+H21+J21</f>
        <v>265546395</v>
      </c>
      <c r="L21" s="6">
        <v>313344746.10000002</v>
      </c>
      <c r="M21" s="6">
        <v>313344746</v>
      </c>
      <c r="N21" s="6">
        <f t="shared" si="1"/>
        <v>265546394.90000001</v>
      </c>
      <c r="O21" s="6">
        <f t="shared" ref="O21:O43" si="11">+M21-I21</f>
        <v>265546394.90000001</v>
      </c>
      <c r="P21" s="6">
        <f t="shared" ref="P21:P36" si="12">+L21-M21</f>
        <v>0.10000002384185791</v>
      </c>
      <c r="Q21" s="16">
        <f>P21</f>
        <v>0.10000002384185791</v>
      </c>
      <c r="R21" s="268">
        <f t="shared" si="4"/>
        <v>9.9999994039535522E-2</v>
      </c>
      <c r="S21" s="16">
        <f>+L21-M21</f>
        <v>0.10000002384185791</v>
      </c>
      <c r="T21" s="33">
        <f t="shared" ref="T21:T45" si="13">+F21+30</f>
        <v>45127</v>
      </c>
    </row>
    <row r="22" spans="2:20" x14ac:dyDescent="0.3">
      <c r="B22" s="355"/>
      <c r="C22" s="4" t="s">
        <v>12</v>
      </c>
      <c r="D22" s="11">
        <v>45108</v>
      </c>
      <c r="E22" s="5">
        <v>45210</v>
      </c>
      <c r="F22" s="5">
        <v>45210</v>
      </c>
      <c r="G22" s="5">
        <v>45212</v>
      </c>
      <c r="H22" s="6">
        <v>42044846</v>
      </c>
      <c r="I22" s="6">
        <f t="shared" ref="I22:I45" si="14">H22*0.18</f>
        <v>7568072.2799999993</v>
      </c>
      <c r="J22" s="6">
        <v>-1659665</v>
      </c>
      <c r="K22" s="6">
        <f t="shared" si="10"/>
        <v>40385181</v>
      </c>
      <c r="L22" s="6">
        <f t="shared" ref="L22:L41" si="15">H22+I22+J22</f>
        <v>47953253.280000001</v>
      </c>
      <c r="M22" s="6">
        <v>47953253</v>
      </c>
      <c r="N22" s="6">
        <f t="shared" si="1"/>
        <v>42044845.719999999</v>
      </c>
      <c r="O22" s="6">
        <f t="shared" si="11"/>
        <v>40385180.719999999</v>
      </c>
      <c r="P22" s="6">
        <f t="shared" si="12"/>
        <v>0.2800000011920929</v>
      </c>
      <c r="Q22" s="16">
        <f t="shared" ref="Q22:Q36" si="16">P22</f>
        <v>0.2800000011920929</v>
      </c>
      <c r="R22" s="268">
        <f t="shared" si="4"/>
        <v>0.2800000011920929</v>
      </c>
      <c r="S22" s="16">
        <f t="shared" ref="S22:S31" si="17">Q22</f>
        <v>0.2800000011920929</v>
      </c>
      <c r="T22" s="33">
        <f t="shared" si="13"/>
        <v>45240</v>
      </c>
    </row>
    <row r="23" spans="2:20" x14ac:dyDescent="0.3">
      <c r="B23" s="355"/>
      <c r="C23" s="4"/>
      <c r="D23" s="11"/>
      <c r="E23" s="5"/>
      <c r="F23" s="5"/>
      <c r="G23" s="5"/>
      <c r="H23" s="6"/>
      <c r="I23" s="6"/>
      <c r="J23" s="6"/>
      <c r="K23" s="6"/>
      <c r="L23" s="6"/>
      <c r="M23" s="6"/>
      <c r="N23" s="6"/>
      <c r="O23" s="6"/>
      <c r="P23" s="6"/>
      <c r="Q23" s="16"/>
      <c r="R23" s="268"/>
      <c r="S23" s="16"/>
      <c r="T23" s="33"/>
    </row>
    <row r="24" spans="2:20" x14ac:dyDescent="0.3">
      <c r="B24" s="355"/>
      <c r="C24" s="4"/>
      <c r="D24" s="11"/>
      <c r="E24" s="5"/>
      <c r="F24" s="5"/>
      <c r="G24" s="5"/>
      <c r="H24" s="6"/>
      <c r="I24" s="6"/>
      <c r="J24" s="6"/>
      <c r="K24" s="6"/>
      <c r="L24" s="6"/>
      <c r="M24" s="6"/>
      <c r="N24" s="6"/>
      <c r="O24" s="6"/>
      <c r="P24" s="6"/>
      <c r="Q24" s="16"/>
      <c r="R24" s="268"/>
      <c r="S24" s="16"/>
      <c r="T24" s="33"/>
    </row>
    <row r="25" spans="2:20" x14ac:dyDescent="0.3">
      <c r="B25" s="355"/>
      <c r="C25" s="4"/>
      <c r="D25" s="11"/>
      <c r="E25" s="5"/>
      <c r="F25" s="5"/>
      <c r="G25" s="5"/>
      <c r="H25" s="6"/>
      <c r="I25" s="6"/>
      <c r="J25" s="6"/>
      <c r="K25" s="6"/>
      <c r="L25" s="6"/>
      <c r="M25" s="6"/>
      <c r="N25" s="6"/>
      <c r="O25" s="6"/>
      <c r="P25" s="6"/>
      <c r="Q25" s="16"/>
      <c r="R25" s="268"/>
      <c r="S25" s="16"/>
      <c r="T25" s="33"/>
    </row>
    <row r="26" spans="2:20" x14ac:dyDescent="0.3">
      <c r="B26" s="355"/>
      <c r="C26" s="4"/>
      <c r="D26" s="11"/>
      <c r="E26" s="5"/>
      <c r="F26" s="5"/>
      <c r="G26" s="5"/>
      <c r="H26" s="16"/>
      <c r="I26" s="6"/>
      <c r="J26" s="6"/>
      <c r="K26" s="6"/>
      <c r="L26" s="16"/>
      <c r="M26" s="16"/>
      <c r="N26" s="6"/>
      <c r="O26" s="6"/>
      <c r="P26" s="6"/>
      <c r="Q26" s="16"/>
      <c r="R26" s="268"/>
      <c r="S26" s="16"/>
      <c r="T26" s="33"/>
    </row>
    <row r="27" spans="2:20" x14ac:dyDescent="0.3">
      <c r="B27" s="355"/>
      <c r="C27" s="4"/>
      <c r="D27" s="11"/>
      <c r="E27" s="5"/>
      <c r="F27" s="5"/>
      <c r="G27" s="5"/>
      <c r="H27" s="16"/>
      <c r="I27" s="6"/>
      <c r="J27" s="6"/>
      <c r="K27" s="6"/>
      <c r="L27" s="16"/>
      <c r="M27" s="16"/>
      <c r="N27" s="6"/>
      <c r="O27" s="6"/>
      <c r="P27" s="6"/>
      <c r="Q27" s="16"/>
      <c r="R27" s="268"/>
      <c r="S27" s="16"/>
      <c r="T27" s="33"/>
    </row>
    <row r="28" spans="2:20" s="12" customFormat="1" ht="13.5" customHeight="1" x14ac:dyDescent="0.3">
      <c r="B28" s="355"/>
      <c r="C28" s="13"/>
      <c r="D28" s="14"/>
      <c r="E28" s="15"/>
      <c r="F28" s="15"/>
      <c r="G28" s="15"/>
      <c r="H28" s="16"/>
      <c r="I28" s="16"/>
      <c r="J28" s="16"/>
      <c r="K28" s="16"/>
      <c r="L28" s="16"/>
      <c r="M28" s="16"/>
      <c r="N28" s="6"/>
      <c r="O28" s="16"/>
      <c r="P28" s="16"/>
      <c r="Q28" s="16"/>
      <c r="R28" s="268"/>
      <c r="S28" s="16"/>
      <c r="T28" s="34"/>
    </row>
    <row r="29" spans="2:20" s="12" customFormat="1" x14ac:dyDescent="0.3">
      <c r="B29" s="355"/>
      <c r="C29" s="13"/>
      <c r="D29" s="14"/>
      <c r="E29" s="15"/>
      <c r="F29" s="15"/>
      <c r="G29" s="15"/>
      <c r="H29" s="16"/>
      <c r="I29" s="16"/>
      <c r="J29" s="16"/>
      <c r="K29" s="16"/>
      <c r="L29" s="16"/>
      <c r="M29" s="16"/>
      <c r="N29" s="6"/>
      <c r="O29" s="16"/>
      <c r="P29" s="16"/>
      <c r="Q29" s="16"/>
      <c r="R29" s="268"/>
      <c r="S29" s="16"/>
      <c r="T29" s="34"/>
    </row>
    <row r="30" spans="2:20" s="12" customFormat="1" x14ac:dyDescent="0.3">
      <c r="B30" s="355"/>
      <c r="C30" s="13"/>
      <c r="D30" s="14"/>
      <c r="E30" s="15"/>
      <c r="F30" s="15"/>
      <c r="G30" s="15"/>
      <c r="H30" s="16"/>
      <c r="I30" s="16"/>
      <c r="J30" s="16"/>
      <c r="K30" s="16"/>
      <c r="L30" s="16"/>
      <c r="M30" s="16"/>
      <c r="N30" s="6"/>
      <c r="O30" s="16"/>
      <c r="P30" s="16"/>
      <c r="Q30" s="16"/>
      <c r="R30" s="268"/>
      <c r="S30" s="16"/>
      <c r="T30" s="34"/>
    </row>
    <row r="31" spans="2:20" s="12" customFormat="1" x14ac:dyDescent="0.3">
      <c r="B31" s="355"/>
      <c r="C31" s="13"/>
      <c r="D31" s="14"/>
      <c r="E31" s="15"/>
      <c r="F31" s="15"/>
      <c r="G31" s="15"/>
      <c r="H31" s="16"/>
      <c r="I31" s="16"/>
      <c r="J31" s="16"/>
      <c r="K31" s="16"/>
      <c r="L31" s="16"/>
      <c r="M31" s="16"/>
      <c r="N31" s="6"/>
      <c r="O31" s="16"/>
      <c r="P31" s="16"/>
      <c r="Q31" s="16"/>
      <c r="R31" s="268"/>
      <c r="S31" s="16"/>
      <c r="T31" s="34"/>
    </row>
    <row r="32" spans="2:20" s="12" customFormat="1" x14ac:dyDescent="0.3">
      <c r="B32" s="355"/>
      <c r="C32" s="13"/>
      <c r="D32" s="14"/>
      <c r="E32" s="15"/>
      <c r="F32" s="15"/>
      <c r="G32" s="15"/>
      <c r="H32" s="16"/>
      <c r="I32" s="16"/>
      <c r="J32" s="16"/>
      <c r="K32" s="16"/>
      <c r="L32" s="16"/>
      <c r="M32" s="16"/>
      <c r="N32" s="6"/>
      <c r="O32" s="16"/>
      <c r="P32" s="16"/>
      <c r="Q32" s="16"/>
      <c r="R32" s="268"/>
      <c r="S32" s="16"/>
      <c r="T32" s="34"/>
    </row>
    <row r="33" spans="2:21" s="12" customFormat="1" x14ac:dyDescent="0.3">
      <c r="B33" s="355"/>
      <c r="C33" s="13"/>
      <c r="D33" s="14"/>
      <c r="E33" s="15"/>
      <c r="F33" s="15"/>
      <c r="G33" s="15"/>
      <c r="H33" s="16"/>
      <c r="I33" s="16"/>
      <c r="J33" s="16"/>
      <c r="K33" s="16"/>
      <c r="L33" s="16"/>
      <c r="M33" s="16"/>
      <c r="N33" s="6"/>
      <c r="O33" s="16"/>
      <c r="P33" s="16"/>
      <c r="Q33" s="16"/>
      <c r="R33" s="268"/>
      <c r="S33" s="16"/>
      <c r="T33" s="34"/>
    </row>
    <row r="34" spans="2:21" s="12" customFormat="1" x14ac:dyDescent="0.3">
      <c r="B34" s="355"/>
      <c r="C34" s="13"/>
      <c r="D34" s="14"/>
      <c r="E34" s="15"/>
      <c r="F34" s="15"/>
      <c r="G34" s="15"/>
      <c r="H34" s="16"/>
      <c r="I34" s="16"/>
      <c r="J34" s="16"/>
      <c r="K34" s="16"/>
      <c r="L34" s="16"/>
      <c r="M34" s="16"/>
      <c r="N34" s="6"/>
      <c r="O34" s="16"/>
      <c r="P34" s="16"/>
      <c r="Q34" s="16"/>
      <c r="R34" s="268"/>
      <c r="S34" s="16"/>
      <c r="T34" s="34"/>
    </row>
    <row r="35" spans="2:21" s="12" customFormat="1" x14ac:dyDescent="0.3">
      <c r="B35" s="355"/>
      <c r="C35" s="13"/>
      <c r="D35" s="14"/>
      <c r="E35" s="15"/>
      <c r="F35" s="15"/>
      <c r="G35" s="15"/>
      <c r="H35" s="16"/>
      <c r="I35" s="16"/>
      <c r="J35" s="16"/>
      <c r="K35" s="16"/>
      <c r="L35" s="16"/>
      <c r="M35" s="16"/>
      <c r="N35" s="6"/>
      <c r="O35" s="16"/>
      <c r="P35" s="16"/>
      <c r="Q35" s="16"/>
      <c r="R35" s="268"/>
      <c r="S35" s="16"/>
      <c r="T35" s="34"/>
    </row>
    <row r="36" spans="2:21" s="12" customFormat="1" x14ac:dyDescent="0.3">
      <c r="B36" s="355"/>
      <c r="C36" s="13"/>
      <c r="D36" s="14"/>
      <c r="E36" s="15"/>
      <c r="F36" s="15"/>
      <c r="G36" s="15"/>
      <c r="H36" s="16"/>
      <c r="I36" s="16"/>
      <c r="J36" s="16"/>
      <c r="K36" s="16"/>
      <c r="L36" s="16"/>
      <c r="M36" s="16"/>
      <c r="N36" s="6"/>
      <c r="O36" s="16"/>
      <c r="P36" s="16"/>
      <c r="Q36" s="16"/>
      <c r="R36" s="268"/>
      <c r="S36" s="16"/>
      <c r="T36" s="34"/>
    </row>
    <row r="37" spans="2:21" s="12" customFormat="1" x14ac:dyDescent="0.3">
      <c r="B37" s="355"/>
      <c r="C37" s="13"/>
      <c r="D37" s="14"/>
      <c r="E37" s="15"/>
      <c r="F37" s="15"/>
      <c r="G37" s="15"/>
      <c r="H37" s="16"/>
      <c r="I37" s="16"/>
      <c r="J37" s="16"/>
      <c r="K37" s="16"/>
      <c r="L37" s="16"/>
      <c r="M37" s="16"/>
      <c r="N37" s="6"/>
      <c r="O37" s="16"/>
      <c r="P37" s="16"/>
      <c r="Q37" s="16"/>
      <c r="R37" s="268"/>
      <c r="S37" s="16"/>
      <c r="T37" s="34"/>
    </row>
    <row r="38" spans="2:21" s="12" customFormat="1" x14ac:dyDescent="0.3">
      <c r="B38" s="355"/>
      <c r="C38" s="13"/>
      <c r="D38" s="14"/>
      <c r="E38" s="15"/>
      <c r="F38" s="15"/>
      <c r="G38" s="15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268"/>
      <c r="S38" s="16"/>
      <c r="T38" s="34"/>
    </row>
    <row r="39" spans="2:21" s="12" customFormat="1" x14ac:dyDescent="0.3">
      <c r="B39" s="355"/>
      <c r="C39" s="13"/>
      <c r="D39" s="14"/>
      <c r="E39" s="15"/>
      <c r="F39" s="15"/>
      <c r="G39" s="15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268"/>
      <c r="S39" s="16"/>
      <c r="T39" s="34"/>
      <c r="U39" s="296"/>
    </row>
    <row r="40" spans="2:21" s="12" customFormat="1" x14ac:dyDescent="0.3">
      <c r="B40" s="355"/>
      <c r="C40" s="13"/>
      <c r="D40" s="14"/>
      <c r="E40" s="15"/>
      <c r="F40" s="15"/>
      <c r="G40" s="15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268"/>
      <c r="S40" s="16"/>
      <c r="T40" s="34"/>
    </row>
    <row r="41" spans="2:21" s="12" customFormat="1" x14ac:dyDescent="0.3">
      <c r="B41" s="355"/>
      <c r="C41" s="13"/>
      <c r="D41" s="14"/>
      <c r="E41" s="15"/>
      <c r="F41" s="15"/>
      <c r="G41" s="15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268"/>
      <c r="S41" s="16"/>
      <c r="T41" s="34"/>
      <c r="U41" s="296"/>
    </row>
    <row r="42" spans="2:21" s="12" customFormat="1" x14ac:dyDescent="0.3">
      <c r="B42" s="355"/>
      <c r="C42" s="13"/>
      <c r="D42" s="14"/>
      <c r="E42" s="15"/>
      <c r="F42" s="15"/>
      <c r="G42" s="15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268"/>
      <c r="S42" s="16"/>
      <c r="T42" s="34"/>
    </row>
    <row r="43" spans="2:21" s="12" customFormat="1" x14ac:dyDescent="0.3">
      <c r="B43" s="355"/>
      <c r="C43" s="13"/>
      <c r="D43" s="14"/>
      <c r="E43" s="15"/>
      <c r="F43" s="15"/>
      <c r="G43" s="15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268"/>
      <c r="S43" s="16"/>
      <c r="T43" s="34"/>
    </row>
    <row r="44" spans="2:21" s="12" customFormat="1" x14ac:dyDescent="0.3">
      <c r="B44" s="355"/>
      <c r="C44" s="13"/>
      <c r="D44" s="14"/>
      <c r="E44" s="15"/>
      <c r="F44" s="15"/>
      <c r="G44" s="15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268"/>
      <c r="S44" s="16"/>
      <c r="T44" s="34"/>
    </row>
    <row r="45" spans="2:21" s="12" customFormat="1" x14ac:dyDescent="0.3">
      <c r="B45" s="355"/>
      <c r="C45" s="13"/>
      <c r="D45" s="14"/>
      <c r="E45" s="15"/>
      <c r="F45" s="15"/>
      <c r="G45" s="15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268"/>
      <c r="S45" s="16"/>
      <c r="T45" s="34"/>
    </row>
    <row r="46" spans="2:21" s="12" customFormat="1" x14ac:dyDescent="0.3">
      <c r="B46" s="355"/>
      <c r="C46" s="353" t="s">
        <v>17</v>
      </c>
      <c r="D46" s="353"/>
      <c r="E46" s="353"/>
      <c r="F46" s="353"/>
      <c r="G46" s="353"/>
      <c r="H46" s="18">
        <f>+SUM(H21:H45)</f>
        <v>307591241</v>
      </c>
      <c r="I46" s="18">
        <f t="shared" ref="I46:P46" si="18">+SUM(I21:I45)</f>
        <v>55366423.380000003</v>
      </c>
      <c r="J46" s="18">
        <f t="shared" si="18"/>
        <v>-1659665</v>
      </c>
      <c r="K46" s="18">
        <f t="shared" si="18"/>
        <v>305931576</v>
      </c>
      <c r="L46" s="18">
        <f t="shared" si="18"/>
        <v>361297999.38</v>
      </c>
      <c r="M46" s="18">
        <f>+SUM(M21:M45)</f>
        <v>361297999</v>
      </c>
      <c r="N46" s="18">
        <f>+SUM(N21:N45)</f>
        <v>307591240.62</v>
      </c>
      <c r="O46" s="18">
        <f>+SUM(O21:O45)</f>
        <v>305931575.62</v>
      </c>
      <c r="P46" s="18">
        <f t="shared" si="18"/>
        <v>0.38000002503395081</v>
      </c>
      <c r="Q46" s="18">
        <f>+SUM(Q21:Q45)</f>
        <v>0.38000002503395081</v>
      </c>
      <c r="R46" s="273">
        <f>+SUM(R21:R45)</f>
        <v>0.37999999523162842</v>
      </c>
      <c r="S46" s="18">
        <f>+SUM(S21:S45)</f>
        <v>0.38000002503395081</v>
      </c>
      <c r="T46" s="73"/>
    </row>
    <row r="47" spans="2:21" s="25" customFormat="1" ht="14.25" customHeight="1" x14ac:dyDescent="0.3">
      <c r="B47" s="354" t="s">
        <v>35</v>
      </c>
      <c r="C47" s="22" t="s">
        <v>36</v>
      </c>
      <c r="D47" s="13" t="s">
        <v>37</v>
      </c>
      <c r="E47" s="23">
        <v>45414</v>
      </c>
      <c r="F47" s="23">
        <v>45414</v>
      </c>
      <c r="G47" s="23">
        <v>45443</v>
      </c>
      <c r="H47" s="24">
        <v>68374900</v>
      </c>
      <c r="I47" s="24">
        <f t="shared" ref="I47:I67" si="19">+H47*0.18*60%</f>
        <v>7384489.2000000002</v>
      </c>
      <c r="J47" s="24">
        <f t="shared" ref="J47:J67" si="20">-1%*H47</f>
        <v>-683749</v>
      </c>
      <c r="K47" s="16">
        <f t="shared" ref="K47:K67" si="21">+H47+J47</f>
        <v>67691151</v>
      </c>
      <c r="L47" s="16">
        <f t="shared" ref="L47:L67" si="22">H47+I47+J47</f>
        <v>75075640.200000003</v>
      </c>
      <c r="M47" s="24">
        <v>80682382</v>
      </c>
      <c r="N47" s="6">
        <f t="shared" ref="N47:N55" si="23">+M47-I47-J47</f>
        <v>73981641.799999997</v>
      </c>
      <c r="O47" s="16">
        <f>+M47-I47</f>
        <v>73297892.799999997</v>
      </c>
      <c r="P47" s="16">
        <f t="shared" ref="P47:P48" si="24">+L47-M47</f>
        <v>-5606741.799999997</v>
      </c>
      <c r="Q47" s="16">
        <f>P47</f>
        <v>-5606741.799999997</v>
      </c>
      <c r="R47" s="268">
        <f t="shared" si="4"/>
        <v>-5606741.799999997</v>
      </c>
      <c r="S47" s="16">
        <f>+Q47</f>
        <v>-5606741.799999997</v>
      </c>
      <c r="T47" s="34">
        <f t="shared" ref="T47:T67" si="25">+F47+30</f>
        <v>45444</v>
      </c>
    </row>
    <row r="48" spans="2:21" s="25" customFormat="1" ht="14.25" customHeight="1" x14ac:dyDescent="0.3">
      <c r="B48" s="354"/>
      <c r="C48" s="22"/>
      <c r="D48" s="13"/>
      <c r="E48" s="23"/>
      <c r="F48" s="23"/>
      <c r="G48" s="23"/>
      <c r="H48" s="24"/>
      <c r="I48" s="24"/>
      <c r="J48" s="24"/>
      <c r="K48" s="16"/>
      <c r="L48" s="16"/>
      <c r="M48" s="24"/>
      <c r="N48" s="6"/>
      <c r="O48" s="16"/>
      <c r="P48" s="16"/>
      <c r="Q48" s="16"/>
      <c r="R48" s="268"/>
      <c r="S48" s="16"/>
      <c r="T48" s="34"/>
    </row>
    <row r="49" spans="2:20" s="25" customFormat="1" ht="14.25" customHeight="1" x14ac:dyDescent="0.3">
      <c r="B49" s="354"/>
      <c r="C49" s="22"/>
      <c r="D49" s="14"/>
      <c r="E49" s="23"/>
      <c r="F49" s="23"/>
      <c r="G49" s="23"/>
      <c r="H49" s="24"/>
      <c r="I49" s="24"/>
      <c r="J49" s="24"/>
      <c r="K49" s="16"/>
      <c r="L49" s="16"/>
      <c r="M49" s="24"/>
      <c r="N49" s="6"/>
      <c r="O49" s="16"/>
      <c r="P49" s="16"/>
      <c r="Q49" s="16"/>
      <c r="R49" s="268"/>
      <c r="S49" s="16"/>
      <c r="T49" s="34"/>
    </row>
    <row r="50" spans="2:20" s="25" customFormat="1" ht="14.25" customHeight="1" x14ac:dyDescent="0.3">
      <c r="B50" s="354"/>
      <c r="C50" s="22"/>
      <c r="D50" s="14"/>
      <c r="E50" s="23"/>
      <c r="F50" s="23"/>
      <c r="G50" s="23"/>
      <c r="H50" s="24"/>
      <c r="I50" s="24"/>
      <c r="J50" s="24"/>
      <c r="K50" s="16"/>
      <c r="L50" s="16"/>
      <c r="M50" s="24"/>
      <c r="N50" s="6"/>
      <c r="O50" s="16"/>
      <c r="P50" s="16"/>
      <c r="Q50" s="16"/>
      <c r="R50" s="268"/>
      <c r="S50" s="16"/>
      <c r="T50" s="34"/>
    </row>
    <row r="51" spans="2:20" s="25" customFormat="1" ht="14.25" customHeight="1" x14ac:dyDescent="0.3">
      <c r="B51" s="354"/>
      <c r="C51" s="22"/>
      <c r="D51" s="14"/>
      <c r="E51" s="23"/>
      <c r="F51" s="23"/>
      <c r="G51" s="23"/>
      <c r="H51" s="24"/>
      <c r="I51" s="24"/>
      <c r="J51" s="24"/>
      <c r="K51" s="16"/>
      <c r="L51" s="16"/>
      <c r="M51" s="24"/>
      <c r="N51" s="6"/>
      <c r="O51" s="16"/>
      <c r="P51" s="16"/>
      <c r="Q51" s="16"/>
      <c r="R51" s="268"/>
      <c r="S51" s="16"/>
      <c r="T51" s="34"/>
    </row>
    <row r="52" spans="2:20" s="25" customFormat="1" ht="14.25" customHeight="1" x14ac:dyDescent="0.3">
      <c r="B52" s="354"/>
      <c r="C52" s="22"/>
      <c r="D52" s="14"/>
      <c r="E52" s="23"/>
      <c r="F52" s="23"/>
      <c r="G52" s="23"/>
      <c r="H52" s="24"/>
      <c r="I52" s="24"/>
      <c r="J52" s="24"/>
      <c r="K52" s="16"/>
      <c r="L52" s="16"/>
      <c r="M52" s="24"/>
      <c r="N52" s="6"/>
      <c r="O52" s="16"/>
      <c r="P52" s="16"/>
      <c r="Q52" s="16"/>
      <c r="R52" s="268"/>
      <c r="S52" s="16"/>
      <c r="T52" s="34"/>
    </row>
    <row r="53" spans="2:20" s="25" customFormat="1" ht="14.25" customHeight="1" x14ac:dyDescent="0.3">
      <c r="B53" s="354"/>
      <c r="C53" s="22"/>
      <c r="D53" s="14"/>
      <c r="E53" s="23"/>
      <c r="F53" s="23"/>
      <c r="G53" s="23"/>
      <c r="H53" s="24"/>
      <c r="I53" s="24"/>
      <c r="J53" s="24"/>
      <c r="K53" s="16"/>
      <c r="L53" s="16"/>
      <c r="M53" s="24"/>
      <c r="N53" s="6"/>
      <c r="O53" s="16"/>
      <c r="P53" s="16"/>
      <c r="Q53" s="16"/>
      <c r="R53" s="268"/>
      <c r="S53" s="16"/>
      <c r="T53" s="34"/>
    </row>
    <row r="54" spans="2:20" s="25" customFormat="1" ht="14.25" customHeight="1" x14ac:dyDescent="0.3">
      <c r="B54" s="354"/>
      <c r="C54" s="22"/>
      <c r="D54" s="14"/>
      <c r="E54" s="23"/>
      <c r="F54" s="23"/>
      <c r="G54" s="23"/>
      <c r="H54" s="24"/>
      <c r="I54" s="24"/>
      <c r="J54" s="24"/>
      <c r="K54" s="16"/>
      <c r="L54" s="16"/>
      <c r="M54" s="24"/>
      <c r="N54" s="6"/>
      <c r="O54" s="16"/>
      <c r="P54" s="16"/>
      <c r="Q54" s="16"/>
      <c r="R54" s="268"/>
      <c r="S54" s="16"/>
      <c r="T54" s="34"/>
    </row>
    <row r="55" spans="2:20" s="25" customFormat="1" ht="14.25" customHeight="1" x14ac:dyDescent="0.3">
      <c r="B55" s="354"/>
      <c r="C55" s="22"/>
      <c r="D55" s="14"/>
      <c r="E55" s="23"/>
      <c r="F55" s="23"/>
      <c r="G55" s="23"/>
      <c r="H55" s="24"/>
      <c r="I55" s="24"/>
      <c r="J55" s="24"/>
      <c r="K55" s="16"/>
      <c r="L55" s="16"/>
      <c r="M55" s="24"/>
      <c r="N55" s="6"/>
      <c r="O55" s="16"/>
      <c r="P55" s="16"/>
      <c r="Q55" s="16"/>
      <c r="R55" s="268"/>
      <c r="S55" s="16"/>
      <c r="T55" s="34"/>
    </row>
    <row r="56" spans="2:20" s="25" customFormat="1" ht="14.25" customHeight="1" x14ac:dyDescent="0.3">
      <c r="B56" s="354"/>
      <c r="C56" s="22"/>
      <c r="D56" s="14"/>
      <c r="E56" s="23"/>
      <c r="F56" s="23"/>
      <c r="G56" s="23"/>
      <c r="H56" s="24"/>
      <c r="I56" s="24"/>
      <c r="J56" s="24"/>
      <c r="K56" s="16"/>
      <c r="L56" s="74"/>
      <c r="M56" s="24"/>
      <c r="N56" s="24"/>
      <c r="O56" s="24"/>
      <c r="P56" s="16"/>
      <c r="Q56" s="16"/>
      <c r="R56" s="268"/>
      <c r="S56" s="16"/>
      <c r="T56" s="34"/>
    </row>
    <row r="57" spans="2:20" s="25" customFormat="1" ht="14.25" customHeight="1" x14ac:dyDescent="0.3">
      <c r="B57" s="354"/>
      <c r="C57" s="22"/>
      <c r="D57" s="14"/>
      <c r="E57" s="23"/>
      <c r="F57" s="23"/>
      <c r="G57" s="23"/>
      <c r="H57" s="24"/>
      <c r="I57" s="24"/>
      <c r="J57" s="24"/>
      <c r="K57" s="16"/>
      <c r="L57" s="74"/>
      <c r="M57" s="24"/>
      <c r="N57" s="24"/>
      <c r="O57" s="24"/>
      <c r="P57" s="16"/>
      <c r="Q57" s="16"/>
      <c r="R57" s="268"/>
      <c r="S57" s="16"/>
      <c r="T57" s="34"/>
    </row>
    <row r="58" spans="2:20" s="25" customFormat="1" ht="14.25" customHeight="1" x14ac:dyDescent="0.3">
      <c r="B58" s="354"/>
      <c r="C58" s="22"/>
      <c r="D58" s="14"/>
      <c r="E58" s="23"/>
      <c r="F58" s="23"/>
      <c r="G58" s="23"/>
      <c r="H58" s="24"/>
      <c r="I58" s="24"/>
      <c r="J58" s="24"/>
      <c r="K58" s="16"/>
      <c r="L58" s="74"/>
      <c r="M58" s="24"/>
      <c r="N58" s="24"/>
      <c r="O58" s="24"/>
      <c r="P58" s="16"/>
      <c r="Q58" s="16"/>
      <c r="R58" s="268"/>
      <c r="S58" s="16"/>
      <c r="T58" s="34"/>
    </row>
    <row r="59" spans="2:20" s="25" customFormat="1" ht="14.25" customHeight="1" x14ac:dyDescent="0.3">
      <c r="B59" s="354"/>
      <c r="C59" s="22"/>
      <c r="D59" s="14"/>
      <c r="E59" s="23"/>
      <c r="F59" s="23"/>
      <c r="G59" s="23"/>
      <c r="H59" s="24"/>
      <c r="I59" s="24"/>
      <c r="J59" s="24"/>
      <c r="K59" s="16"/>
      <c r="L59" s="74"/>
      <c r="M59" s="24"/>
      <c r="N59" s="24"/>
      <c r="O59" s="24"/>
      <c r="P59" s="16"/>
      <c r="Q59" s="16"/>
      <c r="R59" s="268"/>
      <c r="S59" s="16"/>
      <c r="T59" s="34"/>
    </row>
    <row r="60" spans="2:20" s="25" customFormat="1" ht="14.25" customHeight="1" x14ac:dyDescent="0.3">
      <c r="B60" s="354"/>
      <c r="C60" s="22"/>
      <c r="D60" s="14"/>
      <c r="E60" s="23"/>
      <c r="F60" s="23"/>
      <c r="G60" s="23"/>
      <c r="H60" s="24"/>
      <c r="I60" s="24"/>
      <c r="J60" s="24"/>
      <c r="K60" s="16"/>
      <c r="L60" s="74"/>
      <c r="M60" s="24"/>
      <c r="N60" s="24"/>
      <c r="O60" s="24"/>
      <c r="P60" s="16"/>
      <c r="Q60" s="16"/>
      <c r="R60" s="268"/>
      <c r="S60" s="16"/>
      <c r="T60" s="34"/>
    </row>
    <row r="61" spans="2:20" s="25" customFormat="1" ht="14.25" customHeight="1" x14ac:dyDescent="0.3">
      <c r="B61" s="354"/>
      <c r="C61" s="22"/>
      <c r="D61" s="14"/>
      <c r="E61" s="23"/>
      <c r="F61" s="23"/>
      <c r="G61" s="23"/>
      <c r="H61" s="24"/>
      <c r="I61" s="24"/>
      <c r="J61" s="24"/>
      <c r="K61" s="16"/>
      <c r="L61" s="74"/>
      <c r="M61" s="24"/>
      <c r="N61" s="24"/>
      <c r="O61" s="24"/>
      <c r="P61" s="16"/>
      <c r="Q61" s="16"/>
      <c r="R61" s="268"/>
      <c r="S61" s="16"/>
      <c r="T61" s="34"/>
    </row>
    <row r="62" spans="2:20" s="25" customFormat="1" ht="14.25" customHeight="1" x14ac:dyDescent="0.3">
      <c r="B62" s="354"/>
      <c r="C62" s="22"/>
      <c r="D62" s="14"/>
      <c r="E62" s="23"/>
      <c r="F62" s="23"/>
      <c r="G62" s="23"/>
      <c r="H62" s="24"/>
      <c r="I62" s="24"/>
      <c r="J62" s="24"/>
      <c r="K62" s="16"/>
      <c r="L62" s="74"/>
      <c r="M62" s="24"/>
      <c r="N62" s="24"/>
      <c r="O62" s="24"/>
      <c r="P62" s="16"/>
      <c r="Q62" s="16"/>
      <c r="R62" s="268"/>
      <c r="S62" s="16"/>
      <c r="T62" s="34"/>
    </row>
    <row r="63" spans="2:20" s="25" customFormat="1" ht="14.25" customHeight="1" x14ac:dyDescent="0.3">
      <c r="B63" s="354"/>
      <c r="C63" s="22"/>
      <c r="D63" s="14"/>
      <c r="E63" s="23"/>
      <c r="F63" s="23"/>
      <c r="G63" s="23"/>
      <c r="H63" s="24"/>
      <c r="I63" s="24"/>
      <c r="J63" s="24"/>
      <c r="K63" s="16"/>
      <c r="L63" s="74"/>
      <c r="M63" s="24"/>
      <c r="N63" s="24"/>
      <c r="O63" s="24"/>
      <c r="P63" s="16"/>
      <c r="Q63" s="16"/>
      <c r="R63" s="268"/>
      <c r="S63" s="16"/>
      <c r="T63" s="34"/>
    </row>
    <row r="64" spans="2:20" s="25" customFormat="1" ht="14.25" customHeight="1" x14ac:dyDescent="0.3">
      <c r="B64" s="354"/>
      <c r="C64" s="22"/>
      <c r="D64" s="14"/>
      <c r="E64" s="23"/>
      <c r="F64" s="23"/>
      <c r="G64" s="23"/>
      <c r="H64" s="24"/>
      <c r="I64" s="24"/>
      <c r="J64" s="24"/>
      <c r="K64" s="16"/>
      <c r="L64" s="74"/>
      <c r="M64" s="24"/>
      <c r="N64" s="24"/>
      <c r="O64" s="24"/>
      <c r="P64" s="16"/>
      <c r="Q64" s="16"/>
      <c r="R64" s="268"/>
      <c r="S64" s="16"/>
      <c r="T64" s="34"/>
    </row>
    <row r="65" spans="2:20" s="25" customFormat="1" ht="14.25" customHeight="1" x14ac:dyDescent="0.3">
      <c r="B65" s="354"/>
      <c r="C65" s="22"/>
      <c r="D65" s="14"/>
      <c r="E65" s="23"/>
      <c r="F65" s="23"/>
      <c r="G65" s="23"/>
      <c r="H65" s="24"/>
      <c r="I65" s="24"/>
      <c r="J65" s="24"/>
      <c r="K65" s="16"/>
      <c r="L65" s="74"/>
      <c r="M65" s="24"/>
      <c r="N65" s="24"/>
      <c r="O65" s="24"/>
      <c r="P65" s="16"/>
      <c r="Q65" s="16"/>
      <c r="R65" s="268"/>
      <c r="S65" s="16"/>
      <c r="T65" s="34"/>
    </row>
    <row r="66" spans="2:20" s="25" customFormat="1" ht="14.25" customHeight="1" x14ac:dyDescent="0.3">
      <c r="B66" s="354"/>
      <c r="C66" s="22"/>
      <c r="D66" s="14"/>
      <c r="E66" s="23"/>
      <c r="F66" s="23"/>
      <c r="G66" s="23"/>
      <c r="H66" s="24"/>
      <c r="I66" s="24"/>
      <c r="J66" s="24"/>
      <c r="K66" s="16"/>
      <c r="L66" s="74"/>
      <c r="M66" s="24"/>
      <c r="N66" s="24"/>
      <c r="O66" s="24"/>
      <c r="P66" s="16"/>
      <c r="Q66" s="16"/>
      <c r="R66" s="268"/>
      <c r="S66" s="16"/>
      <c r="T66" s="34"/>
    </row>
    <row r="67" spans="2:20" s="25" customFormat="1" ht="14.25" customHeight="1" x14ac:dyDescent="0.3">
      <c r="B67" s="354"/>
      <c r="C67" s="22"/>
      <c r="D67" s="14"/>
      <c r="E67" s="23"/>
      <c r="F67" s="23"/>
      <c r="G67" s="23"/>
      <c r="H67" s="24"/>
      <c r="I67" s="24"/>
      <c r="J67" s="24"/>
      <c r="K67" s="16"/>
      <c r="L67" s="74"/>
      <c r="M67" s="24"/>
      <c r="N67" s="24"/>
      <c r="O67" s="24"/>
      <c r="P67" s="16"/>
      <c r="Q67" s="16"/>
      <c r="R67" s="268"/>
      <c r="S67" s="16"/>
      <c r="T67" s="34"/>
    </row>
    <row r="68" spans="2:20" s="25" customFormat="1" ht="14.25" customHeight="1" x14ac:dyDescent="0.3">
      <c r="B68" s="354"/>
      <c r="C68" s="22"/>
      <c r="D68" s="14"/>
      <c r="E68" s="23"/>
      <c r="F68" s="23"/>
      <c r="G68" s="23"/>
      <c r="H68" s="24"/>
      <c r="I68" s="24"/>
      <c r="J68" s="24"/>
      <c r="K68" s="16"/>
      <c r="L68" s="74"/>
      <c r="M68" s="24"/>
      <c r="N68" s="24"/>
      <c r="O68" s="24"/>
      <c r="P68" s="16"/>
      <c r="Q68" s="16"/>
      <c r="R68" s="268"/>
      <c r="S68" s="16"/>
      <c r="T68" s="34"/>
    </row>
    <row r="69" spans="2:20" s="25" customFormat="1" ht="14.25" customHeight="1" x14ac:dyDescent="0.3">
      <c r="B69" s="354"/>
      <c r="C69" s="22"/>
      <c r="D69" s="14"/>
      <c r="E69" s="23"/>
      <c r="F69" s="23"/>
      <c r="G69" s="23"/>
      <c r="H69" s="24"/>
      <c r="I69" s="24"/>
      <c r="J69" s="24"/>
      <c r="K69" s="16"/>
      <c r="L69" s="16"/>
      <c r="M69" s="24"/>
      <c r="N69" s="24"/>
      <c r="O69" s="24"/>
      <c r="P69" s="16"/>
      <c r="Q69" s="16"/>
      <c r="R69" s="268">
        <f t="shared" si="4"/>
        <v>0</v>
      </c>
      <c r="S69" s="16"/>
      <c r="T69" s="34"/>
    </row>
    <row r="70" spans="2:20" s="12" customFormat="1" x14ac:dyDescent="0.3">
      <c r="B70" s="354"/>
      <c r="C70" s="353" t="s">
        <v>40</v>
      </c>
      <c r="D70" s="353"/>
      <c r="E70" s="353"/>
      <c r="F70" s="353"/>
      <c r="G70" s="353"/>
      <c r="H70" s="18">
        <f>SUM(H47:H69)</f>
        <v>68374900</v>
      </c>
      <c r="I70" s="18">
        <f t="shared" ref="I70:Q70" si="26">SUM(I47:I69)</f>
        <v>7384489.2000000002</v>
      </c>
      <c r="J70" s="18">
        <f t="shared" si="26"/>
        <v>-683749</v>
      </c>
      <c r="K70" s="18">
        <f t="shared" si="26"/>
        <v>67691151</v>
      </c>
      <c r="L70" s="18">
        <f t="shared" si="26"/>
        <v>75075640.200000003</v>
      </c>
      <c r="M70" s="18">
        <f t="shared" si="26"/>
        <v>80682382</v>
      </c>
      <c r="N70" s="18">
        <f t="shared" si="26"/>
        <v>73981641.799999997</v>
      </c>
      <c r="O70" s="18">
        <f t="shared" si="26"/>
        <v>73297892.799999997</v>
      </c>
      <c r="P70" s="18">
        <f t="shared" si="26"/>
        <v>-5606741.799999997</v>
      </c>
      <c r="Q70" s="18">
        <f t="shared" si="26"/>
        <v>-5606741.799999997</v>
      </c>
      <c r="R70" s="273">
        <f>SUM(R47:R69)</f>
        <v>-5606741.799999997</v>
      </c>
      <c r="S70" s="18">
        <f>SUM(S47:S69)</f>
        <v>-5606741.799999997</v>
      </c>
      <c r="T70" s="73"/>
    </row>
    <row r="71" spans="2:20" s="12" customFormat="1" ht="12.75" customHeight="1" x14ac:dyDescent="0.3">
      <c r="B71" s="354" t="s">
        <v>125</v>
      </c>
      <c r="C71" s="13" t="s">
        <v>39</v>
      </c>
      <c r="D71" s="14" t="s">
        <v>41</v>
      </c>
      <c r="E71" s="15">
        <v>45422</v>
      </c>
      <c r="F71" s="15">
        <v>45439</v>
      </c>
      <c r="G71" s="15">
        <v>45476</v>
      </c>
      <c r="H71" s="16">
        <v>109800000</v>
      </c>
      <c r="I71" s="16">
        <f t="shared" ref="I71:I87" si="27">+H71*0.18*60%</f>
        <v>11858400</v>
      </c>
      <c r="J71" s="16">
        <f t="shared" ref="J71:J87" si="28">-H71*1%</f>
        <v>-1098000</v>
      </c>
      <c r="K71" s="16">
        <f t="shared" ref="K71:K87" si="29">+H71+J71</f>
        <v>108702000</v>
      </c>
      <c r="L71" s="16">
        <f t="shared" ref="L71:L87" si="30">H71+I71+J71</f>
        <v>120560400</v>
      </c>
      <c r="M71" s="16">
        <v>120560400</v>
      </c>
      <c r="N71" s="6">
        <f t="shared" ref="N71:N85" si="31">+M71-I71-J71</f>
        <v>109800000</v>
      </c>
      <c r="O71" s="16">
        <f>+M71-I71</f>
        <v>108702000</v>
      </c>
      <c r="P71" s="16">
        <f t="shared" ref="P71:P78" si="32">+L71-M71</f>
        <v>0</v>
      </c>
      <c r="Q71" s="16">
        <f>P71</f>
        <v>0</v>
      </c>
      <c r="R71" s="268">
        <f t="shared" si="4"/>
        <v>0</v>
      </c>
      <c r="S71" s="16">
        <f>Q71</f>
        <v>0</v>
      </c>
      <c r="T71" s="34">
        <f t="shared" ref="T71:T87" si="33">+F71+30</f>
        <v>45469</v>
      </c>
    </row>
    <row r="72" spans="2:20" s="12" customFormat="1" x14ac:dyDescent="0.3">
      <c r="B72" s="354"/>
      <c r="C72" s="13"/>
      <c r="D72" s="14"/>
      <c r="E72" s="15"/>
      <c r="F72" s="15"/>
      <c r="G72" s="15"/>
      <c r="H72" s="16"/>
      <c r="I72" s="16"/>
      <c r="J72" s="16"/>
      <c r="K72" s="16"/>
      <c r="L72" s="16"/>
      <c r="M72" s="16"/>
      <c r="N72" s="6"/>
      <c r="O72" s="16"/>
      <c r="P72" s="16"/>
      <c r="Q72" s="16"/>
      <c r="R72" s="268"/>
      <c r="S72" s="16"/>
      <c r="T72" s="34"/>
    </row>
    <row r="73" spans="2:20" s="12" customFormat="1" x14ac:dyDescent="0.3">
      <c r="B73" s="354"/>
      <c r="C73" s="13"/>
      <c r="D73" s="14"/>
      <c r="E73" s="15"/>
      <c r="F73" s="15"/>
      <c r="G73" s="15"/>
      <c r="H73" s="16"/>
      <c r="I73" s="16"/>
      <c r="J73" s="16"/>
      <c r="K73" s="16"/>
      <c r="L73" s="16"/>
      <c r="M73" s="16"/>
      <c r="N73" s="6"/>
      <c r="O73" s="16"/>
      <c r="P73" s="16"/>
      <c r="Q73" s="16"/>
      <c r="R73" s="268"/>
      <c r="S73" s="16"/>
      <c r="T73" s="34"/>
    </row>
    <row r="74" spans="2:20" s="12" customFormat="1" x14ac:dyDescent="0.3">
      <c r="B74" s="354"/>
      <c r="C74" s="13"/>
      <c r="D74" s="14"/>
      <c r="E74" s="15"/>
      <c r="F74" s="15"/>
      <c r="G74" s="15"/>
      <c r="H74" s="16"/>
      <c r="I74" s="16"/>
      <c r="J74" s="16"/>
      <c r="K74" s="16"/>
      <c r="L74" s="16"/>
      <c r="M74" s="16"/>
      <c r="N74" s="6"/>
      <c r="O74" s="16"/>
      <c r="P74" s="16"/>
      <c r="Q74" s="16"/>
      <c r="R74" s="268"/>
      <c r="S74" s="16"/>
      <c r="T74" s="34"/>
    </row>
    <row r="75" spans="2:20" s="12" customFormat="1" x14ac:dyDescent="0.3">
      <c r="B75" s="354"/>
      <c r="C75" s="13"/>
      <c r="D75" s="14"/>
      <c r="E75" s="15"/>
      <c r="F75" s="15"/>
      <c r="G75" s="15"/>
      <c r="H75" s="16"/>
      <c r="I75" s="16"/>
      <c r="J75" s="16"/>
      <c r="K75" s="16"/>
      <c r="L75" s="16"/>
      <c r="M75" s="16"/>
      <c r="N75" s="6"/>
      <c r="O75" s="16"/>
      <c r="P75" s="16"/>
      <c r="Q75" s="16"/>
      <c r="R75" s="268"/>
      <c r="S75" s="16"/>
      <c r="T75" s="34"/>
    </row>
    <row r="76" spans="2:20" s="12" customFormat="1" x14ac:dyDescent="0.3">
      <c r="B76" s="354"/>
      <c r="C76" s="13"/>
      <c r="D76" s="14"/>
      <c r="E76" s="15"/>
      <c r="F76" s="15"/>
      <c r="G76" s="15"/>
      <c r="H76" s="16"/>
      <c r="I76" s="16"/>
      <c r="J76" s="16"/>
      <c r="K76" s="16"/>
      <c r="L76" s="16"/>
      <c r="M76" s="16"/>
      <c r="N76" s="6"/>
      <c r="O76" s="16"/>
      <c r="P76" s="16"/>
      <c r="Q76" s="16"/>
      <c r="R76" s="268"/>
      <c r="S76" s="16"/>
      <c r="T76" s="34"/>
    </row>
    <row r="77" spans="2:20" s="12" customFormat="1" x14ac:dyDescent="0.3">
      <c r="B77" s="354"/>
      <c r="C77" s="13"/>
      <c r="D77" s="14"/>
      <c r="E77" s="15"/>
      <c r="F77" s="15"/>
      <c r="G77" s="15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268"/>
      <c r="S77" s="16"/>
      <c r="T77" s="34"/>
    </row>
    <row r="78" spans="2:20" s="12" customFormat="1" x14ac:dyDescent="0.3">
      <c r="B78" s="354"/>
      <c r="C78" s="13"/>
      <c r="D78" s="14"/>
      <c r="E78" s="15"/>
      <c r="F78" s="15"/>
      <c r="G78" s="15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268"/>
      <c r="S78" s="16"/>
      <c r="T78" s="34"/>
    </row>
    <row r="79" spans="2:20" s="12" customFormat="1" x14ac:dyDescent="0.3">
      <c r="B79" s="354"/>
      <c r="C79" s="13"/>
      <c r="D79" s="14"/>
      <c r="E79" s="15"/>
      <c r="F79" s="15"/>
      <c r="G79" s="15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268"/>
      <c r="S79" s="16"/>
      <c r="T79" s="34"/>
    </row>
    <row r="80" spans="2:20" s="12" customFormat="1" x14ac:dyDescent="0.3">
      <c r="B80" s="354"/>
      <c r="C80" s="13"/>
      <c r="D80" s="14"/>
      <c r="E80" s="15"/>
      <c r="F80" s="15"/>
      <c r="G80" s="15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268"/>
      <c r="S80" s="16"/>
      <c r="T80" s="34"/>
    </row>
    <row r="81" spans="2:20" s="12" customFormat="1" x14ac:dyDescent="0.3">
      <c r="B81" s="354"/>
      <c r="C81" s="13"/>
      <c r="D81" s="14"/>
      <c r="E81" s="15"/>
      <c r="F81" s="15"/>
      <c r="G81" s="15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268"/>
      <c r="S81" s="16"/>
      <c r="T81" s="34"/>
    </row>
    <row r="82" spans="2:20" s="12" customFormat="1" x14ac:dyDescent="0.3">
      <c r="B82" s="354"/>
      <c r="C82" s="13"/>
      <c r="D82" s="14"/>
      <c r="E82" s="15"/>
      <c r="F82" s="15"/>
      <c r="G82" s="15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268"/>
      <c r="S82" s="16"/>
      <c r="T82" s="34"/>
    </row>
    <row r="83" spans="2:20" s="12" customFormat="1" x14ac:dyDescent="0.3">
      <c r="B83" s="354"/>
      <c r="C83" s="13"/>
      <c r="D83" s="14"/>
      <c r="E83" s="15"/>
      <c r="F83" s="15"/>
      <c r="G83" s="15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268"/>
      <c r="S83" s="16"/>
      <c r="T83" s="34"/>
    </row>
    <row r="84" spans="2:20" s="12" customFormat="1" x14ac:dyDescent="0.3">
      <c r="B84" s="354"/>
      <c r="C84" s="13"/>
      <c r="D84" s="14"/>
      <c r="E84" s="15"/>
      <c r="F84" s="15"/>
      <c r="G84" s="15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268"/>
      <c r="S84" s="16"/>
      <c r="T84" s="34"/>
    </row>
    <row r="85" spans="2:20" s="12" customFormat="1" x14ac:dyDescent="0.3">
      <c r="B85" s="354"/>
      <c r="C85" s="13"/>
      <c r="D85" s="14"/>
      <c r="E85" s="15"/>
      <c r="F85" s="15"/>
      <c r="G85" s="15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268"/>
      <c r="S85" s="16"/>
      <c r="T85" s="34"/>
    </row>
    <row r="86" spans="2:20" s="12" customFormat="1" x14ac:dyDescent="0.3">
      <c r="B86" s="354"/>
      <c r="C86" s="13"/>
      <c r="D86" s="14"/>
      <c r="E86" s="15"/>
      <c r="F86" s="15"/>
      <c r="G86" s="15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268"/>
      <c r="S86" s="16"/>
      <c r="T86" s="34"/>
    </row>
    <row r="87" spans="2:20" s="12" customFormat="1" x14ac:dyDescent="0.3">
      <c r="B87" s="354"/>
      <c r="C87" s="13"/>
      <c r="D87" s="14"/>
      <c r="E87" s="15"/>
      <c r="F87" s="15"/>
      <c r="G87" s="15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268"/>
      <c r="S87" s="16"/>
      <c r="T87" s="34"/>
    </row>
    <row r="88" spans="2:20" s="12" customFormat="1" x14ac:dyDescent="0.3">
      <c r="B88" s="354"/>
      <c r="C88" s="13"/>
      <c r="D88" s="14"/>
      <c r="E88" s="15"/>
      <c r="F88" s="15"/>
      <c r="G88" s="15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268"/>
      <c r="S88" s="16"/>
      <c r="T88" s="34"/>
    </row>
    <row r="89" spans="2:20" s="12" customFormat="1" x14ac:dyDescent="0.3">
      <c r="B89" s="354"/>
      <c r="C89" s="353" t="s">
        <v>134</v>
      </c>
      <c r="D89" s="353"/>
      <c r="E89" s="353"/>
      <c r="F89" s="353"/>
      <c r="G89" s="353"/>
      <c r="H89" s="18">
        <f t="shared" ref="H89:S89" si="34">SUM(H71:H88)</f>
        <v>109800000</v>
      </c>
      <c r="I89" s="18">
        <f t="shared" si="34"/>
        <v>11858400</v>
      </c>
      <c r="J89" s="18">
        <f t="shared" si="34"/>
        <v>-1098000</v>
      </c>
      <c r="K89" s="18">
        <f t="shared" si="34"/>
        <v>108702000</v>
      </c>
      <c r="L89" s="18">
        <f t="shared" si="34"/>
        <v>120560400</v>
      </c>
      <c r="M89" s="18">
        <f t="shared" si="34"/>
        <v>120560400</v>
      </c>
      <c r="N89" s="18">
        <f t="shared" si="34"/>
        <v>109800000</v>
      </c>
      <c r="O89" s="18">
        <f t="shared" si="34"/>
        <v>108702000</v>
      </c>
      <c r="P89" s="18">
        <f t="shared" si="34"/>
        <v>0</v>
      </c>
      <c r="Q89" s="18">
        <f>SUM(Q71:Q88)</f>
        <v>0</v>
      </c>
      <c r="R89" s="273">
        <f>SUM(R71:R88)</f>
        <v>0</v>
      </c>
      <c r="S89" s="18">
        <f t="shared" si="34"/>
        <v>0</v>
      </c>
      <c r="T89" s="73"/>
    </row>
    <row r="90" spans="2:20" s="12" customFormat="1" x14ac:dyDescent="0.3">
      <c r="B90" s="354" t="s">
        <v>133</v>
      </c>
      <c r="C90" s="13"/>
      <c r="D90" s="14"/>
      <c r="E90" s="15"/>
      <c r="F90" s="15"/>
      <c r="G90" s="15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268"/>
      <c r="S90" s="16"/>
      <c r="T90" s="34"/>
    </row>
    <row r="91" spans="2:20" s="12" customFormat="1" x14ac:dyDescent="0.3">
      <c r="B91" s="354"/>
      <c r="C91" s="13"/>
      <c r="D91" s="14"/>
      <c r="E91" s="15"/>
      <c r="F91" s="15"/>
      <c r="G91" s="15"/>
      <c r="H91" s="16"/>
      <c r="I91" s="16"/>
      <c r="J91" s="16"/>
      <c r="K91" s="16"/>
      <c r="L91" s="16"/>
      <c r="M91" s="16"/>
      <c r="N91" s="16"/>
      <c r="O91" s="70"/>
      <c r="P91" s="16"/>
      <c r="Q91" s="16"/>
      <c r="R91" s="268"/>
      <c r="S91" s="16"/>
      <c r="T91" s="34"/>
    </row>
    <row r="92" spans="2:20" s="12" customFormat="1" x14ac:dyDescent="0.3">
      <c r="B92" s="354"/>
      <c r="C92" s="13"/>
      <c r="D92" s="14"/>
      <c r="E92" s="15"/>
      <c r="F92" s="15"/>
      <c r="G92" s="15"/>
      <c r="H92" s="16"/>
      <c r="I92" s="16"/>
      <c r="J92" s="16"/>
      <c r="K92" s="16"/>
      <c r="L92" s="16"/>
      <c r="M92" s="16"/>
      <c r="N92" s="16"/>
      <c r="O92" s="70"/>
      <c r="P92" s="16"/>
      <c r="Q92" s="16"/>
      <c r="R92" s="268"/>
      <c r="S92" s="16"/>
      <c r="T92" s="34"/>
    </row>
    <row r="93" spans="2:20" s="12" customFormat="1" x14ac:dyDescent="0.3">
      <c r="B93" s="354"/>
      <c r="C93" s="13"/>
      <c r="D93" s="14"/>
      <c r="E93" s="15"/>
      <c r="F93" s="15"/>
      <c r="G93" s="15"/>
      <c r="H93" s="16"/>
      <c r="I93" s="16"/>
      <c r="J93" s="16"/>
      <c r="K93" s="16"/>
      <c r="L93" s="16"/>
      <c r="M93" s="16"/>
      <c r="N93" s="16"/>
      <c r="O93" s="70"/>
      <c r="P93" s="16"/>
      <c r="Q93" s="16"/>
      <c r="R93" s="268"/>
      <c r="S93" s="16"/>
      <c r="T93" s="34"/>
    </row>
    <row r="94" spans="2:20" s="12" customFormat="1" x14ac:dyDescent="0.3">
      <c r="B94" s="354"/>
      <c r="C94" s="13"/>
      <c r="D94" s="14"/>
      <c r="E94" s="15"/>
      <c r="F94" s="15"/>
      <c r="G94" s="15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268"/>
      <c r="S94" s="16"/>
      <c r="T94" s="34"/>
    </row>
    <row r="95" spans="2:20" s="12" customFormat="1" x14ac:dyDescent="0.3">
      <c r="B95" s="354"/>
      <c r="C95" s="13"/>
      <c r="D95" s="14"/>
      <c r="E95" s="15"/>
      <c r="F95" s="15"/>
      <c r="G95" s="15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268"/>
      <c r="S95" s="16"/>
      <c r="T95" s="34"/>
    </row>
    <row r="96" spans="2:20" s="12" customFormat="1" x14ac:dyDescent="0.3">
      <c r="B96" s="354"/>
      <c r="C96" s="13"/>
      <c r="D96" s="14"/>
      <c r="E96" s="15"/>
      <c r="F96" s="15"/>
      <c r="G96" s="15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268"/>
      <c r="S96" s="16"/>
      <c r="T96" s="34"/>
    </row>
    <row r="97" spans="2:20" s="12" customFormat="1" x14ac:dyDescent="0.3">
      <c r="B97" s="354"/>
      <c r="C97" s="13"/>
      <c r="D97" s="14"/>
      <c r="E97" s="15"/>
      <c r="F97" s="15"/>
      <c r="G97" s="15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268"/>
      <c r="S97" s="16"/>
      <c r="T97" s="34"/>
    </row>
    <row r="98" spans="2:20" s="12" customFormat="1" x14ac:dyDescent="0.3">
      <c r="B98" s="354"/>
      <c r="C98" s="13"/>
      <c r="D98" s="14"/>
      <c r="E98" s="15"/>
      <c r="F98" s="15"/>
      <c r="G98" s="15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268"/>
      <c r="S98" s="16"/>
      <c r="T98" s="34"/>
    </row>
    <row r="99" spans="2:20" s="12" customFormat="1" x14ac:dyDescent="0.3">
      <c r="B99" s="354"/>
      <c r="C99" s="13"/>
      <c r="D99" s="14"/>
      <c r="E99" s="15"/>
      <c r="F99" s="15"/>
      <c r="G99" s="15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268"/>
      <c r="S99" s="16"/>
      <c r="T99" s="34"/>
    </row>
    <row r="100" spans="2:20" s="12" customFormat="1" x14ac:dyDescent="0.3">
      <c r="B100" s="354"/>
      <c r="C100" s="13"/>
      <c r="D100" s="14"/>
      <c r="E100" s="15"/>
      <c r="F100" s="15"/>
      <c r="G100" s="15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268"/>
      <c r="S100" s="16"/>
      <c r="T100" s="34"/>
    </row>
    <row r="101" spans="2:20" s="12" customFormat="1" x14ac:dyDescent="0.3">
      <c r="B101" s="354"/>
      <c r="C101" s="13"/>
      <c r="D101" s="14"/>
      <c r="E101" s="15"/>
      <c r="F101" s="15"/>
      <c r="G101" s="15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268"/>
      <c r="S101" s="16"/>
      <c r="T101" s="34"/>
    </row>
    <row r="102" spans="2:20" s="12" customFormat="1" x14ac:dyDescent="0.3">
      <c r="B102" s="354"/>
      <c r="C102" s="13"/>
      <c r="D102" s="14"/>
      <c r="E102" s="15"/>
      <c r="F102" s="15"/>
      <c r="G102" s="15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268"/>
      <c r="S102" s="16"/>
      <c r="T102" s="34"/>
    </row>
    <row r="103" spans="2:20" s="12" customFormat="1" x14ac:dyDescent="0.3">
      <c r="B103" s="354"/>
      <c r="C103" s="353" t="s">
        <v>135</v>
      </c>
      <c r="D103" s="353"/>
      <c r="E103" s="353"/>
      <c r="F103" s="353"/>
      <c r="G103" s="353"/>
      <c r="H103" s="18">
        <f>SUM(H90:H102)</f>
        <v>0</v>
      </c>
      <c r="I103" s="18">
        <f t="shared" ref="I103:T103" si="35">SUM(I90:I102)</f>
        <v>0</v>
      </c>
      <c r="J103" s="18">
        <f t="shared" si="35"/>
        <v>0</v>
      </c>
      <c r="K103" s="18">
        <f t="shared" si="35"/>
        <v>0</v>
      </c>
      <c r="L103" s="18">
        <f t="shared" si="35"/>
        <v>0</v>
      </c>
      <c r="M103" s="18">
        <f t="shared" si="35"/>
        <v>0</v>
      </c>
      <c r="N103" s="18">
        <f t="shared" si="35"/>
        <v>0</v>
      </c>
      <c r="O103" s="18">
        <f t="shared" si="35"/>
        <v>0</v>
      </c>
      <c r="P103" s="18">
        <f t="shared" si="35"/>
        <v>0</v>
      </c>
      <c r="Q103" s="18">
        <f t="shared" si="35"/>
        <v>0</v>
      </c>
      <c r="R103" s="273">
        <f t="shared" si="35"/>
        <v>0</v>
      </c>
      <c r="S103" s="18">
        <f t="shared" si="35"/>
        <v>0</v>
      </c>
      <c r="T103" s="18">
        <f t="shared" si="35"/>
        <v>0</v>
      </c>
    </row>
    <row r="104" spans="2:20" s="12" customFormat="1" ht="17.25" customHeight="1" x14ac:dyDescent="0.3">
      <c r="B104" s="354" t="s">
        <v>51</v>
      </c>
      <c r="C104" s="13"/>
      <c r="D104" s="14"/>
      <c r="E104" s="15"/>
      <c r="F104" s="15"/>
      <c r="G104" s="15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268"/>
      <c r="S104" s="16"/>
      <c r="T104" s="34"/>
    </row>
    <row r="105" spans="2:20" s="12" customFormat="1" ht="16.5" customHeight="1" x14ac:dyDescent="0.3">
      <c r="B105" s="354"/>
      <c r="C105" s="13"/>
      <c r="D105" s="14"/>
      <c r="E105" s="15"/>
      <c r="F105" s="15"/>
      <c r="G105" s="15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268"/>
      <c r="S105" s="16"/>
      <c r="T105" s="34"/>
    </row>
    <row r="106" spans="2:20" s="12" customFormat="1" ht="17.25" customHeight="1" x14ac:dyDescent="0.3">
      <c r="B106" s="354"/>
      <c r="C106" s="13"/>
      <c r="D106" s="14"/>
      <c r="E106" s="15"/>
      <c r="F106" s="15"/>
      <c r="G106" s="15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268"/>
      <c r="S106" s="16"/>
      <c r="T106" s="34"/>
    </row>
    <row r="107" spans="2:20" s="12" customFormat="1" ht="17.25" customHeight="1" x14ac:dyDescent="0.3">
      <c r="B107" s="354"/>
      <c r="C107" s="13"/>
      <c r="D107" s="14"/>
      <c r="E107" s="15"/>
      <c r="F107" s="15"/>
      <c r="G107" s="15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268"/>
      <c r="S107" s="16"/>
      <c r="T107" s="34"/>
    </row>
    <row r="108" spans="2:20" s="12" customFormat="1" ht="17.25" customHeight="1" x14ac:dyDescent="0.3">
      <c r="B108" s="354"/>
      <c r="C108" s="13"/>
      <c r="D108" s="14"/>
      <c r="E108" s="15"/>
      <c r="F108" s="15"/>
      <c r="G108" s="15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268"/>
      <c r="S108" s="16"/>
      <c r="T108" s="34"/>
    </row>
    <row r="109" spans="2:20" s="12" customFormat="1" ht="17.25" customHeight="1" x14ac:dyDescent="0.3">
      <c r="B109" s="354"/>
      <c r="C109" s="13"/>
      <c r="D109" s="14"/>
      <c r="E109" s="15"/>
      <c r="F109" s="15"/>
      <c r="G109" s="15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268"/>
      <c r="S109" s="16"/>
      <c r="T109" s="37"/>
    </row>
    <row r="110" spans="2:20" s="12" customFormat="1" ht="18.75" customHeight="1" x14ac:dyDescent="0.3">
      <c r="B110" s="354"/>
      <c r="C110" s="353" t="s">
        <v>75</v>
      </c>
      <c r="D110" s="353"/>
      <c r="E110" s="353"/>
      <c r="F110" s="353"/>
      <c r="G110" s="353"/>
      <c r="H110" s="18">
        <f>SUM(H104:H109)</f>
        <v>0</v>
      </c>
      <c r="I110" s="18">
        <f>SUM(I104:I109)</f>
        <v>0</v>
      </c>
      <c r="J110" s="18">
        <f t="shared" ref="J110:S110" si="36">SUM(J104:J109)</f>
        <v>0</v>
      </c>
      <c r="K110" s="18">
        <f t="shared" si="36"/>
        <v>0</v>
      </c>
      <c r="L110" s="18">
        <f t="shared" si="36"/>
        <v>0</v>
      </c>
      <c r="M110" s="18">
        <f>SUM(M104:M109)</f>
        <v>0</v>
      </c>
      <c r="N110" s="18">
        <f>SUM(N104:N109)</f>
        <v>0</v>
      </c>
      <c r="O110" s="18">
        <f t="shared" si="36"/>
        <v>0</v>
      </c>
      <c r="P110" s="18">
        <f t="shared" si="36"/>
        <v>0</v>
      </c>
      <c r="Q110" s="18">
        <f t="shared" si="36"/>
        <v>0</v>
      </c>
      <c r="R110" s="273">
        <f t="shared" si="36"/>
        <v>0</v>
      </c>
      <c r="S110" s="18">
        <f t="shared" si="36"/>
        <v>0</v>
      </c>
      <c r="T110" s="73"/>
    </row>
    <row r="111" spans="2:20" s="12" customFormat="1" ht="18.75" customHeight="1" x14ac:dyDescent="0.3">
      <c r="B111" s="354" t="s">
        <v>90</v>
      </c>
      <c r="C111" s="22" t="s">
        <v>92</v>
      </c>
      <c r="D111" s="35">
        <v>45474</v>
      </c>
      <c r="E111" s="23">
        <v>45482</v>
      </c>
      <c r="F111" s="23">
        <v>45482</v>
      </c>
      <c r="G111" s="75">
        <v>45488</v>
      </c>
      <c r="H111" s="24">
        <v>12886598</v>
      </c>
      <c r="I111" s="24">
        <f>H111*0.18</f>
        <v>2319587.64</v>
      </c>
      <c r="J111" s="24">
        <f>-H111*3%</f>
        <v>-386597.94</v>
      </c>
      <c r="K111" s="16">
        <f>+H111+J111</f>
        <v>12500000.060000001</v>
      </c>
      <c r="L111" s="16">
        <f>H111+I111+J111</f>
        <v>14819587.700000001</v>
      </c>
      <c r="M111" s="24">
        <v>14819588</v>
      </c>
      <c r="N111" s="16">
        <f t="shared" ref="N104:N117" si="37">+M111-I111-J111</f>
        <v>12886598.299999999</v>
      </c>
      <c r="O111" s="16">
        <f>+M111-I111</f>
        <v>12500000.359999999</v>
      </c>
      <c r="P111" s="16">
        <f>+L111-M111</f>
        <v>-0.29999999888241291</v>
      </c>
      <c r="Q111" s="16">
        <f t="shared" ref="Q111:Q112" si="38">P111</f>
        <v>-0.29999999888241291</v>
      </c>
      <c r="R111" s="268">
        <f t="shared" ref="R94:R123" si="39">H111-N111</f>
        <v>-0.29999999888241291</v>
      </c>
      <c r="S111" s="16">
        <f>Q111</f>
        <v>-0.29999999888241291</v>
      </c>
      <c r="T111" s="34">
        <f>+F111+30</f>
        <v>45512</v>
      </c>
    </row>
    <row r="112" spans="2:20" s="12" customFormat="1" ht="18.75" customHeight="1" x14ac:dyDescent="0.3">
      <c r="B112" s="354"/>
      <c r="C112" s="22" t="s">
        <v>124</v>
      </c>
      <c r="D112" s="35">
        <v>45566</v>
      </c>
      <c r="E112" s="23">
        <v>45567</v>
      </c>
      <c r="F112" s="23">
        <v>45600</v>
      </c>
      <c r="G112" s="75">
        <v>45663</v>
      </c>
      <c r="H112" s="24">
        <v>12886598</v>
      </c>
      <c r="I112" s="24">
        <f>H112*0.18</f>
        <v>2319587.64</v>
      </c>
      <c r="J112" s="24">
        <f>-H112*3%</f>
        <v>-386597.94</v>
      </c>
      <c r="K112" s="16">
        <f>+H112+J112</f>
        <v>12500000.060000001</v>
      </c>
      <c r="L112" s="16">
        <f>H112+I112+J112</f>
        <v>14819587.700000001</v>
      </c>
      <c r="M112" s="24">
        <v>14819588</v>
      </c>
      <c r="N112" s="16">
        <f t="shared" si="37"/>
        <v>12886598.299999999</v>
      </c>
      <c r="O112" s="16">
        <f>+M112-I112</f>
        <v>12500000.359999999</v>
      </c>
      <c r="P112" s="16">
        <f>+L112-M112</f>
        <v>-0.29999999888241291</v>
      </c>
      <c r="Q112" s="16">
        <f t="shared" si="38"/>
        <v>-0.29999999888241291</v>
      </c>
      <c r="R112" s="268">
        <f t="shared" si="39"/>
        <v>-0.29999999888241291</v>
      </c>
      <c r="S112" s="16">
        <f>Q112</f>
        <v>-0.29999999888241291</v>
      </c>
      <c r="T112" s="34">
        <f>+F112+30</f>
        <v>45630</v>
      </c>
    </row>
    <row r="113" spans="2:22" s="12" customFormat="1" ht="18" customHeight="1" x14ac:dyDescent="0.3">
      <c r="B113" s="354"/>
      <c r="C113" s="353" t="s">
        <v>91</v>
      </c>
      <c r="D113" s="353"/>
      <c r="E113" s="353"/>
      <c r="F113" s="353"/>
      <c r="G113" s="353"/>
      <c r="H113" s="18">
        <f>SUM(H111:H112)</f>
        <v>25773196</v>
      </c>
      <c r="I113" s="18">
        <f t="shared" ref="I113:S113" si="40">SUM(I111:I112)</f>
        <v>4639175.28</v>
      </c>
      <c r="J113" s="18">
        <f t="shared" si="40"/>
        <v>-773195.88</v>
      </c>
      <c r="K113" s="18">
        <f t="shared" si="40"/>
        <v>25000000.120000001</v>
      </c>
      <c r="L113" s="18">
        <f t="shared" si="40"/>
        <v>29639175.400000002</v>
      </c>
      <c r="M113" s="18">
        <f t="shared" si="40"/>
        <v>29639176</v>
      </c>
      <c r="N113" s="18">
        <f t="shared" si="40"/>
        <v>25773196.599999998</v>
      </c>
      <c r="O113" s="18">
        <f t="shared" si="40"/>
        <v>25000000.719999999</v>
      </c>
      <c r="P113" s="18">
        <f t="shared" si="40"/>
        <v>-0.59999999776482582</v>
      </c>
      <c r="Q113" s="18">
        <f t="shared" si="40"/>
        <v>-0.59999999776482582</v>
      </c>
      <c r="R113" s="268">
        <f t="shared" si="39"/>
        <v>-0.59999999776482582</v>
      </c>
      <c r="S113" s="18">
        <f t="shared" si="40"/>
        <v>-0.59999999776482582</v>
      </c>
      <c r="T113" s="73"/>
    </row>
    <row r="114" spans="2:22" s="12" customFormat="1" ht="18" customHeight="1" x14ac:dyDescent="0.3">
      <c r="B114" s="354" t="s">
        <v>101</v>
      </c>
      <c r="C114" s="22"/>
      <c r="D114" s="35"/>
      <c r="E114" s="23"/>
      <c r="F114" s="23"/>
      <c r="G114" s="23"/>
      <c r="H114" s="24"/>
      <c r="I114" s="24"/>
      <c r="J114" s="24"/>
      <c r="K114" s="16"/>
      <c r="L114" s="16"/>
      <c r="M114" s="24"/>
      <c r="N114" s="16"/>
      <c r="O114" s="16"/>
      <c r="P114" s="16"/>
      <c r="Q114" s="16"/>
      <c r="R114" s="268"/>
      <c r="S114" s="16"/>
      <c r="T114" s="34"/>
    </row>
    <row r="115" spans="2:22" s="12" customFormat="1" ht="18" customHeight="1" x14ac:dyDescent="0.3">
      <c r="B115" s="354"/>
      <c r="C115" s="22"/>
      <c r="D115" s="35"/>
      <c r="E115" s="23"/>
      <c r="F115" s="23"/>
      <c r="G115" s="23"/>
      <c r="H115" s="24"/>
      <c r="I115" s="24"/>
      <c r="J115" s="24"/>
      <c r="K115" s="16"/>
      <c r="L115" s="16"/>
      <c r="M115" s="24"/>
      <c r="N115" s="16"/>
      <c r="O115" s="16"/>
      <c r="P115" s="16"/>
      <c r="Q115" s="16"/>
      <c r="R115" s="268"/>
      <c r="S115" s="16"/>
      <c r="T115" s="34"/>
    </row>
    <row r="116" spans="2:22" s="12" customFormat="1" ht="18" customHeight="1" x14ac:dyDescent="0.3">
      <c r="B116" s="354"/>
      <c r="C116" s="22"/>
      <c r="D116" s="35"/>
      <c r="E116" s="23"/>
      <c r="F116" s="23"/>
      <c r="G116" s="23"/>
      <c r="H116" s="24"/>
      <c r="I116" s="24"/>
      <c r="J116" s="24"/>
      <c r="K116" s="16"/>
      <c r="L116" s="16"/>
      <c r="M116" s="24"/>
      <c r="N116" s="16"/>
      <c r="O116" s="16"/>
      <c r="P116" s="16"/>
      <c r="Q116" s="16"/>
      <c r="R116" s="268"/>
      <c r="S116" s="16"/>
      <c r="T116" s="34"/>
    </row>
    <row r="117" spans="2:22" s="12" customFormat="1" ht="18" customHeight="1" x14ac:dyDescent="0.3">
      <c r="B117" s="354"/>
      <c r="C117" s="22"/>
      <c r="D117" s="35"/>
      <c r="E117" s="23"/>
      <c r="F117" s="23"/>
      <c r="G117" s="23"/>
      <c r="H117" s="24"/>
      <c r="I117" s="24"/>
      <c r="J117" s="24"/>
      <c r="K117" s="16"/>
      <c r="L117" s="16"/>
      <c r="M117" s="24"/>
      <c r="N117" s="16"/>
      <c r="O117" s="16"/>
      <c r="P117" s="16"/>
      <c r="Q117" s="16"/>
      <c r="R117" s="268"/>
      <c r="S117" s="16"/>
      <c r="T117" s="34"/>
    </row>
    <row r="118" spans="2:22" s="12" customFormat="1" ht="18" customHeight="1" x14ac:dyDescent="0.3">
      <c r="B118" s="354"/>
      <c r="C118" s="22"/>
      <c r="D118" s="35"/>
      <c r="E118" s="23"/>
      <c r="F118" s="23"/>
      <c r="G118" s="23"/>
      <c r="H118" s="24"/>
      <c r="I118" s="24"/>
      <c r="J118" s="24"/>
      <c r="K118" s="16"/>
      <c r="L118" s="16"/>
      <c r="M118" s="24"/>
      <c r="N118" s="16"/>
      <c r="O118" s="16"/>
      <c r="P118" s="16"/>
      <c r="Q118" s="16"/>
      <c r="R118" s="268"/>
      <c r="S118" s="16"/>
      <c r="T118" s="34"/>
    </row>
    <row r="119" spans="2:22" s="12" customFormat="1" ht="18" customHeight="1" x14ac:dyDescent="0.3">
      <c r="B119" s="354"/>
      <c r="C119" s="22"/>
      <c r="D119" s="35"/>
      <c r="E119" s="23"/>
      <c r="F119" s="23"/>
      <c r="G119" s="23"/>
      <c r="H119" s="24"/>
      <c r="I119" s="24"/>
      <c r="J119" s="24"/>
      <c r="K119" s="16"/>
      <c r="L119" s="16"/>
      <c r="M119" s="24"/>
      <c r="N119" s="24"/>
      <c r="O119" s="24"/>
      <c r="P119" s="16"/>
      <c r="Q119" s="16"/>
      <c r="R119" s="268"/>
      <c r="S119" s="16"/>
      <c r="T119" s="34"/>
    </row>
    <row r="120" spans="2:22" s="12" customFormat="1" ht="18" customHeight="1" x14ac:dyDescent="0.3">
      <c r="B120" s="354"/>
      <c r="C120" s="22"/>
      <c r="D120" s="35"/>
      <c r="E120" s="23"/>
      <c r="F120" s="23"/>
      <c r="G120" s="23"/>
      <c r="H120" s="24"/>
      <c r="I120" s="24"/>
      <c r="J120" s="24"/>
      <c r="K120" s="16"/>
      <c r="L120" s="16"/>
      <c r="M120" s="24"/>
      <c r="N120" s="24"/>
      <c r="O120" s="24"/>
      <c r="P120" s="16"/>
      <c r="Q120" s="16"/>
      <c r="R120" s="268"/>
      <c r="S120" s="16"/>
      <c r="T120" s="34"/>
    </row>
    <row r="121" spans="2:22" s="12" customFormat="1" ht="18" customHeight="1" x14ac:dyDescent="0.3">
      <c r="B121" s="354"/>
      <c r="C121" s="22"/>
      <c r="D121" s="35"/>
      <c r="E121" s="23"/>
      <c r="F121" s="23"/>
      <c r="G121" s="23"/>
      <c r="H121" s="24"/>
      <c r="I121" s="24"/>
      <c r="J121" s="24"/>
      <c r="K121" s="16"/>
      <c r="L121" s="16"/>
      <c r="M121" s="24"/>
      <c r="N121" s="24"/>
      <c r="O121" s="24"/>
      <c r="P121" s="16"/>
      <c r="Q121" s="16"/>
      <c r="R121" s="268"/>
      <c r="S121" s="16"/>
      <c r="T121" s="34"/>
    </row>
    <row r="122" spans="2:22" s="12" customFormat="1" ht="18" customHeight="1" x14ac:dyDescent="0.3">
      <c r="B122" s="354"/>
      <c r="C122" s="22"/>
      <c r="D122" s="35"/>
      <c r="E122" s="23"/>
      <c r="F122" s="23"/>
      <c r="G122" s="23"/>
      <c r="H122" s="24"/>
      <c r="I122" s="24"/>
      <c r="J122" s="24"/>
      <c r="K122" s="16"/>
      <c r="L122" s="16"/>
      <c r="M122" s="16"/>
      <c r="N122" s="16"/>
      <c r="O122" s="16"/>
      <c r="P122" s="16"/>
      <c r="Q122" s="16"/>
      <c r="R122" s="268"/>
      <c r="S122" s="16"/>
      <c r="T122" s="34"/>
    </row>
    <row r="123" spans="2:22" s="12" customFormat="1" ht="18" customHeight="1" x14ac:dyDescent="0.3">
      <c r="B123" s="354"/>
      <c r="C123" s="22"/>
      <c r="D123" s="35"/>
      <c r="E123" s="23"/>
      <c r="F123" s="23"/>
      <c r="G123" s="23"/>
      <c r="H123" s="24"/>
      <c r="I123" s="24"/>
      <c r="J123" s="24"/>
      <c r="K123" s="16"/>
      <c r="L123" s="16"/>
      <c r="M123" s="16"/>
      <c r="N123" s="16"/>
      <c r="O123" s="16"/>
      <c r="P123" s="16"/>
      <c r="Q123" s="16"/>
      <c r="R123" s="268"/>
      <c r="S123" s="16"/>
      <c r="T123" s="34"/>
    </row>
    <row r="124" spans="2:22" s="12" customFormat="1" ht="18" customHeight="1" x14ac:dyDescent="0.3">
      <c r="B124" s="354"/>
      <c r="C124" s="22"/>
      <c r="D124" s="35"/>
      <c r="E124" s="23"/>
      <c r="F124" s="23"/>
      <c r="G124" s="23"/>
      <c r="H124" s="24"/>
      <c r="I124" s="24"/>
      <c r="J124" s="24"/>
      <c r="K124" s="16"/>
      <c r="L124" s="16"/>
      <c r="M124" s="16"/>
      <c r="N124" s="16"/>
      <c r="O124" s="16"/>
      <c r="P124" s="16"/>
      <c r="Q124" s="16"/>
      <c r="R124" s="268"/>
      <c r="S124" s="16"/>
      <c r="T124" s="34"/>
    </row>
    <row r="125" spans="2:22" s="12" customFormat="1" ht="18" customHeight="1" x14ac:dyDescent="0.3">
      <c r="B125" s="354"/>
      <c r="C125" s="353" t="s">
        <v>105</v>
      </c>
      <c r="D125" s="353"/>
      <c r="E125" s="353"/>
      <c r="F125" s="353"/>
      <c r="G125" s="353"/>
      <c r="H125" s="18">
        <f>SUM(H114:H124)</f>
        <v>0</v>
      </c>
      <c r="I125" s="18">
        <f t="shared" ref="I125:R125" si="41">SUM(I114:I124)</f>
        <v>0</v>
      </c>
      <c r="J125" s="18">
        <f t="shared" si="41"/>
        <v>0</v>
      </c>
      <c r="K125" s="18">
        <f t="shared" si="41"/>
        <v>0</v>
      </c>
      <c r="L125" s="18">
        <f t="shared" si="41"/>
        <v>0</v>
      </c>
      <c r="M125" s="18">
        <f t="shared" si="41"/>
        <v>0</v>
      </c>
      <c r="N125" s="18">
        <f t="shared" si="41"/>
        <v>0</v>
      </c>
      <c r="O125" s="18">
        <f>SUM(O114:O124)</f>
        <v>0</v>
      </c>
      <c r="P125" s="18">
        <f t="shared" si="41"/>
        <v>0</v>
      </c>
      <c r="Q125" s="18">
        <f t="shared" si="41"/>
        <v>0</v>
      </c>
      <c r="R125" s="273">
        <f t="shared" si="41"/>
        <v>0</v>
      </c>
      <c r="S125" s="18">
        <f>SUM(S114:S124)</f>
        <v>0</v>
      </c>
      <c r="T125" s="73"/>
    </row>
    <row r="126" spans="2:22" s="12" customFormat="1" ht="18" customHeight="1" x14ac:dyDescent="0.3">
      <c r="B126" s="354" t="s">
        <v>114</v>
      </c>
      <c r="C126" s="22"/>
      <c r="D126" s="35"/>
      <c r="E126" s="23"/>
      <c r="F126" s="23"/>
      <c r="G126" s="23"/>
      <c r="H126" s="24"/>
      <c r="I126" s="16"/>
      <c r="J126" s="16"/>
      <c r="K126" s="16"/>
      <c r="L126" s="16"/>
      <c r="M126" s="24"/>
      <c r="N126" s="16"/>
      <c r="O126" s="16"/>
      <c r="P126" s="16"/>
      <c r="Q126" s="16"/>
      <c r="R126" s="268"/>
      <c r="S126" s="16"/>
      <c r="T126" s="34"/>
      <c r="V126" s="290" t="s">
        <v>451</v>
      </c>
    </row>
    <row r="127" spans="2:22" s="12" customFormat="1" ht="18" customHeight="1" x14ac:dyDescent="0.3">
      <c r="B127" s="354"/>
      <c r="C127" s="13"/>
      <c r="D127" s="35"/>
      <c r="E127" s="23"/>
      <c r="F127" s="23"/>
      <c r="G127" s="23"/>
      <c r="H127" s="24"/>
      <c r="I127" s="16"/>
      <c r="J127" s="24"/>
      <c r="K127" s="16"/>
      <c r="L127" s="16"/>
      <c r="M127" s="24"/>
      <c r="N127" s="24"/>
      <c r="O127" s="24"/>
      <c r="P127" s="16"/>
      <c r="Q127" s="16"/>
      <c r="R127" s="268"/>
      <c r="S127" s="16"/>
      <c r="T127" s="34"/>
      <c r="V127" s="291">
        <f>L126-M126</f>
        <v>0</v>
      </c>
    </row>
    <row r="128" spans="2:22" s="12" customFormat="1" ht="18" customHeight="1" x14ac:dyDescent="0.3">
      <c r="B128" s="354"/>
      <c r="C128" s="13"/>
      <c r="D128" s="35"/>
      <c r="E128" s="23"/>
      <c r="F128" s="23"/>
      <c r="G128" s="23"/>
      <c r="H128" s="24"/>
      <c r="I128" s="24"/>
      <c r="J128" s="24"/>
      <c r="K128" s="16"/>
      <c r="L128" s="16"/>
      <c r="M128" s="24"/>
      <c r="N128" s="24"/>
      <c r="O128" s="24"/>
      <c r="P128" s="16"/>
      <c r="Q128" s="16"/>
      <c r="R128" s="268"/>
      <c r="S128" s="16"/>
      <c r="T128" s="34"/>
      <c r="V128" s="76"/>
    </row>
    <row r="129" spans="2:23" s="12" customFormat="1" ht="18" customHeight="1" x14ac:dyDescent="0.3">
      <c r="B129" s="354"/>
      <c r="C129" s="22"/>
      <c r="D129" s="35"/>
      <c r="E129" s="23"/>
      <c r="F129" s="23"/>
      <c r="G129" s="23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67"/>
      <c r="S129" s="24"/>
      <c r="T129" s="24"/>
      <c r="V129" s="292">
        <f>+I126/2</f>
        <v>0</v>
      </c>
      <c r="W129" s="293" t="s">
        <v>20</v>
      </c>
    </row>
    <row r="130" spans="2:23" s="12" customFormat="1" ht="18" customHeight="1" x14ac:dyDescent="0.3">
      <c r="B130" s="354"/>
      <c r="C130" s="353" t="s">
        <v>113</v>
      </c>
      <c r="D130" s="353"/>
      <c r="E130" s="353"/>
      <c r="F130" s="353"/>
      <c r="G130" s="353"/>
      <c r="H130" s="18">
        <f t="shared" ref="H130:S130" si="42">SUM(H126:H129)</f>
        <v>0</v>
      </c>
      <c r="I130" s="18">
        <f t="shared" si="42"/>
        <v>0</v>
      </c>
      <c r="J130" s="18">
        <f t="shared" si="42"/>
        <v>0</v>
      </c>
      <c r="K130" s="18">
        <f t="shared" si="42"/>
        <v>0</v>
      </c>
      <c r="L130" s="18">
        <f t="shared" si="42"/>
        <v>0</v>
      </c>
      <c r="M130" s="18">
        <f t="shared" si="42"/>
        <v>0</v>
      </c>
      <c r="N130" s="18">
        <f t="shared" si="42"/>
        <v>0</v>
      </c>
      <c r="O130" s="18">
        <f t="shared" si="42"/>
        <v>0</v>
      </c>
      <c r="P130" s="18">
        <f t="shared" si="42"/>
        <v>0</v>
      </c>
      <c r="Q130" s="18">
        <f t="shared" si="42"/>
        <v>0</v>
      </c>
      <c r="R130" s="273">
        <f t="shared" si="42"/>
        <v>0</v>
      </c>
      <c r="S130" s="18">
        <f t="shared" si="42"/>
        <v>0</v>
      </c>
      <c r="T130" s="73"/>
      <c r="V130" s="76"/>
    </row>
    <row r="131" spans="2:23" s="12" customFormat="1" ht="18" customHeight="1" x14ac:dyDescent="0.3">
      <c r="B131" s="341" t="s">
        <v>152</v>
      </c>
      <c r="C131" s="22"/>
      <c r="D131" s="35"/>
      <c r="E131" s="23"/>
      <c r="F131" s="23"/>
      <c r="G131" s="23"/>
      <c r="H131" s="24"/>
      <c r="I131" s="24"/>
      <c r="J131" s="24"/>
      <c r="K131" s="16"/>
      <c r="L131" s="16"/>
      <c r="M131" s="24"/>
      <c r="N131" s="16"/>
      <c r="O131" s="16"/>
      <c r="P131" s="16"/>
      <c r="Q131" s="16"/>
      <c r="R131" s="268"/>
      <c r="S131" s="16"/>
      <c r="T131" s="34"/>
    </row>
    <row r="132" spans="2:23" s="12" customFormat="1" ht="18" customHeight="1" x14ac:dyDescent="0.3">
      <c r="B132" s="342"/>
      <c r="C132" s="22"/>
      <c r="D132" s="35"/>
      <c r="E132" s="23"/>
      <c r="F132" s="23"/>
      <c r="G132" s="23"/>
      <c r="H132" s="24"/>
      <c r="I132" s="24"/>
      <c r="J132" s="24"/>
      <c r="K132" s="16"/>
      <c r="L132" s="16"/>
      <c r="M132" s="24"/>
      <c r="N132" s="16"/>
      <c r="O132" s="16"/>
      <c r="P132" s="16"/>
      <c r="Q132" s="16"/>
      <c r="R132" s="268"/>
      <c r="S132" s="16"/>
      <c r="T132" s="34"/>
    </row>
    <row r="133" spans="2:23" s="12" customFormat="1" ht="18" customHeight="1" x14ac:dyDescent="0.3">
      <c r="B133" s="342"/>
      <c r="C133" s="22"/>
      <c r="D133" s="35"/>
      <c r="E133" s="23"/>
      <c r="F133" s="23"/>
      <c r="G133" s="23"/>
      <c r="H133" s="24"/>
      <c r="I133" s="24"/>
      <c r="J133" s="24"/>
      <c r="K133" s="16"/>
      <c r="L133" s="16"/>
      <c r="M133" s="24"/>
      <c r="N133" s="16"/>
      <c r="O133" s="16"/>
      <c r="P133" s="16"/>
      <c r="Q133" s="16"/>
      <c r="R133" s="268"/>
      <c r="S133" s="16"/>
      <c r="T133" s="34"/>
    </row>
    <row r="134" spans="2:23" s="12" customFormat="1" ht="18" customHeight="1" x14ac:dyDescent="0.3">
      <c r="B134" s="342"/>
      <c r="C134" s="22"/>
      <c r="D134" s="35"/>
      <c r="E134" s="23"/>
      <c r="F134" s="23"/>
      <c r="G134" s="23"/>
      <c r="H134" s="24"/>
      <c r="I134" s="24"/>
      <c r="J134" s="24"/>
      <c r="K134" s="16"/>
      <c r="L134" s="16"/>
      <c r="M134" s="24"/>
      <c r="N134" s="16"/>
      <c r="O134" s="16"/>
      <c r="P134" s="16"/>
      <c r="Q134" s="16"/>
      <c r="R134" s="268"/>
      <c r="S134" s="16"/>
      <c r="T134" s="34"/>
    </row>
    <row r="135" spans="2:23" s="12" customFormat="1" ht="18" customHeight="1" x14ac:dyDescent="0.3">
      <c r="B135" s="342"/>
      <c r="C135" s="22"/>
      <c r="D135" s="35"/>
      <c r="E135" s="23"/>
      <c r="F135" s="23"/>
      <c r="G135" s="23"/>
      <c r="H135" s="24"/>
      <c r="I135" s="24"/>
      <c r="J135" s="24"/>
      <c r="K135" s="16"/>
      <c r="L135" s="16"/>
      <c r="M135" s="24"/>
      <c r="N135" s="24"/>
      <c r="O135" s="24"/>
      <c r="P135" s="16"/>
      <c r="Q135" s="16"/>
      <c r="R135" s="268"/>
      <c r="S135" s="16"/>
      <c r="T135" s="34"/>
    </row>
    <row r="136" spans="2:23" s="12" customFormat="1" ht="18" customHeight="1" x14ac:dyDescent="0.3">
      <c r="B136" s="342"/>
      <c r="C136" s="22"/>
      <c r="D136" s="35"/>
      <c r="E136" s="23"/>
      <c r="F136" s="23"/>
      <c r="G136" s="23"/>
      <c r="H136" s="24"/>
      <c r="I136" s="24"/>
      <c r="J136" s="24"/>
      <c r="K136" s="16"/>
      <c r="L136" s="16"/>
      <c r="M136" s="24"/>
      <c r="N136" s="24"/>
      <c r="O136" s="24"/>
      <c r="P136" s="16"/>
      <c r="Q136" s="16"/>
      <c r="R136" s="268"/>
      <c r="S136" s="16"/>
      <c r="T136" s="34"/>
    </row>
    <row r="137" spans="2:23" s="12" customFormat="1" ht="18" customHeight="1" x14ac:dyDescent="0.3">
      <c r="B137" s="342"/>
      <c r="C137" s="22"/>
      <c r="D137" s="35"/>
      <c r="E137" s="23"/>
      <c r="F137" s="23"/>
      <c r="G137" s="23"/>
      <c r="H137" s="24"/>
      <c r="I137" s="24"/>
      <c r="J137" s="24"/>
      <c r="K137" s="16"/>
      <c r="L137" s="16"/>
      <c r="M137" s="24"/>
      <c r="N137" s="24"/>
      <c r="O137" s="24"/>
      <c r="P137" s="16"/>
      <c r="Q137" s="16"/>
      <c r="R137" s="268"/>
      <c r="S137" s="16"/>
      <c r="T137" s="34"/>
    </row>
    <row r="138" spans="2:23" s="12" customFormat="1" ht="18" customHeight="1" x14ac:dyDescent="0.3">
      <c r="B138" s="342"/>
      <c r="C138" s="22"/>
      <c r="D138" s="35"/>
      <c r="E138" s="23"/>
      <c r="F138" s="23"/>
      <c r="G138" s="23"/>
      <c r="H138" s="24"/>
      <c r="I138" s="24"/>
      <c r="J138" s="24"/>
      <c r="K138" s="16"/>
      <c r="L138" s="16"/>
      <c r="M138" s="24"/>
      <c r="N138" s="24"/>
      <c r="O138" s="24"/>
      <c r="P138" s="16"/>
      <c r="Q138" s="16"/>
      <c r="R138" s="268"/>
      <c r="S138" s="16"/>
      <c r="T138" s="34"/>
    </row>
    <row r="139" spans="2:23" s="12" customFormat="1" ht="18" customHeight="1" x14ac:dyDescent="0.3">
      <c r="B139" s="343"/>
      <c r="C139" s="353" t="s">
        <v>153</v>
      </c>
      <c r="D139" s="353"/>
      <c r="E139" s="353"/>
      <c r="F139" s="353"/>
      <c r="G139" s="353"/>
      <c r="H139" s="18">
        <f t="shared" ref="H139:S139" si="43">SUM(H131:H138)</f>
        <v>0</v>
      </c>
      <c r="I139" s="18">
        <f t="shared" si="43"/>
        <v>0</v>
      </c>
      <c r="J139" s="18">
        <f t="shared" si="43"/>
        <v>0</v>
      </c>
      <c r="K139" s="18">
        <f t="shared" si="43"/>
        <v>0</v>
      </c>
      <c r="L139" s="18">
        <f t="shared" si="43"/>
        <v>0</v>
      </c>
      <c r="M139" s="18">
        <f t="shared" si="43"/>
        <v>0</v>
      </c>
      <c r="N139" s="18">
        <f t="shared" si="43"/>
        <v>0</v>
      </c>
      <c r="O139" s="18">
        <f t="shared" si="43"/>
        <v>0</v>
      </c>
      <c r="P139" s="18">
        <f t="shared" si="43"/>
        <v>0</v>
      </c>
      <c r="Q139" s="18">
        <f t="shared" si="43"/>
        <v>0</v>
      </c>
      <c r="R139" s="273">
        <f t="shared" si="43"/>
        <v>0</v>
      </c>
      <c r="S139" s="18">
        <f t="shared" si="43"/>
        <v>0</v>
      </c>
      <c r="T139" s="73"/>
    </row>
    <row r="140" spans="2:23" s="12" customFormat="1" ht="18" customHeight="1" x14ac:dyDescent="0.3">
      <c r="B140" s="354" t="s">
        <v>449</v>
      </c>
      <c r="C140" s="22"/>
      <c r="D140" s="35"/>
      <c r="E140" s="23"/>
      <c r="F140" s="23"/>
      <c r="G140" s="23"/>
      <c r="H140" s="24"/>
      <c r="I140" s="24"/>
      <c r="J140" s="24"/>
      <c r="K140" s="16"/>
      <c r="L140" s="16"/>
      <c r="M140" s="24"/>
      <c r="N140" s="16"/>
      <c r="O140" s="16"/>
      <c r="P140" s="16"/>
      <c r="Q140" s="16"/>
      <c r="R140" s="268"/>
      <c r="S140" s="16"/>
      <c r="T140" s="34"/>
    </row>
    <row r="141" spans="2:23" s="12" customFormat="1" ht="18" customHeight="1" x14ac:dyDescent="0.3">
      <c r="B141" s="354"/>
      <c r="C141" s="22"/>
      <c r="D141" s="35"/>
      <c r="E141" s="23"/>
      <c r="F141" s="23"/>
      <c r="G141" s="23"/>
      <c r="H141" s="24"/>
      <c r="I141" s="24"/>
      <c r="J141" s="24"/>
      <c r="K141" s="16"/>
      <c r="L141" s="16"/>
      <c r="M141" s="24"/>
      <c r="N141" s="16"/>
      <c r="O141" s="16"/>
      <c r="P141" s="16"/>
      <c r="Q141" s="16"/>
      <c r="R141" s="268"/>
      <c r="S141" s="16"/>
      <c r="T141" s="34"/>
    </row>
    <row r="142" spans="2:23" s="12" customFormat="1" ht="18" customHeight="1" x14ac:dyDescent="0.3">
      <c r="B142" s="354"/>
      <c r="C142" s="22"/>
      <c r="D142" s="35"/>
      <c r="E142" s="23"/>
      <c r="F142" s="23"/>
      <c r="G142" s="23"/>
      <c r="H142" s="24"/>
      <c r="I142" s="24"/>
      <c r="J142" s="24"/>
      <c r="K142" s="16"/>
      <c r="L142" s="16"/>
      <c r="M142" s="24"/>
      <c r="N142" s="16"/>
      <c r="O142" s="16"/>
      <c r="P142" s="16"/>
      <c r="Q142" s="16"/>
      <c r="R142" s="268"/>
      <c r="S142" s="16"/>
      <c r="T142" s="34"/>
    </row>
    <row r="143" spans="2:23" s="12" customFormat="1" ht="18" customHeight="1" x14ac:dyDescent="0.3">
      <c r="B143" s="354"/>
      <c r="C143" s="22"/>
      <c r="D143" s="35"/>
      <c r="E143" s="23"/>
      <c r="F143" s="23"/>
      <c r="G143" s="23"/>
      <c r="H143" s="24"/>
      <c r="I143" s="24"/>
      <c r="J143" s="24"/>
      <c r="K143" s="16"/>
      <c r="L143" s="16"/>
      <c r="M143" s="24"/>
      <c r="N143" s="16"/>
      <c r="O143" s="16"/>
      <c r="P143" s="16"/>
      <c r="Q143" s="16"/>
      <c r="R143" s="268"/>
      <c r="S143" s="16"/>
      <c r="T143" s="34"/>
    </row>
    <row r="144" spans="2:23" s="12" customFormat="1" ht="18" customHeight="1" x14ac:dyDescent="0.3">
      <c r="B144" s="354"/>
      <c r="C144" s="22"/>
      <c r="D144" s="35"/>
      <c r="E144" s="23"/>
      <c r="F144" s="23"/>
      <c r="G144" s="23"/>
      <c r="H144" s="24"/>
      <c r="I144" s="24"/>
      <c r="J144" s="24"/>
      <c r="K144" s="16"/>
      <c r="L144" s="16"/>
      <c r="M144" s="24"/>
      <c r="N144" s="24"/>
      <c r="O144" s="24"/>
      <c r="P144" s="16"/>
      <c r="Q144" s="16"/>
      <c r="R144" s="268"/>
      <c r="S144" s="16"/>
      <c r="T144" s="34"/>
    </row>
    <row r="145" spans="2:20" s="12" customFormat="1" ht="18" customHeight="1" x14ac:dyDescent="0.3">
      <c r="B145" s="354"/>
      <c r="C145" s="22"/>
      <c r="D145" s="35"/>
      <c r="E145" s="23"/>
      <c r="F145" s="23"/>
      <c r="G145" s="23"/>
      <c r="H145" s="24"/>
      <c r="I145" s="24"/>
      <c r="J145" s="24"/>
      <c r="K145" s="16"/>
      <c r="L145" s="16"/>
      <c r="M145" s="24"/>
      <c r="N145" s="24"/>
      <c r="O145" s="24"/>
      <c r="P145" s="16"/>
      <c r="Q145" s="16"/>
      <c r="R145" s="268"/>
      <c r="S145" s="16"/>
      <c r="T145" s="34"/>
    </row>
    <row r="146" spans="2:20" s="12" customFormat="1" ht="18" customHeight="1" x14ac:dyDescent="0.3">
      <c r="B146" s="354"/>
      <c r="C146" s="22"/>
      <c r="D146" s="35"/>
      <c r="E146" s="23"/>
      <c r="F146" s="23"/>
      <c r="G146" s="23"/>
      <c r="H146" s="24"/>
      <c r="I146" s="24"/>
      <c r="J146" s="24"/>
      <c r="K146" s="16"/>
      <c r="L146" s="16"/>
      <c r="M146" s="24"/>
      <c r="N146" s="24"/>
      <c r="O146" s="24"/>
      <c r="P146" s="16"/>
      <c r="Q146" s="16"/>
      <c r="R146" s="268"/>
      <c r="S146" s="16"/>
      <c r="T146" s="34"/>
    </row>
    <row r="147" spans="2:20" s="12" customFormat="1" ht="18" customHeight="1" x14ac:dyDescent="0.3">
      <c r="B147" s="354"/>
      <c r="C147" s="22"/>
      <c r="D147" s="35"/>
      <c r="E147" s="23"/>
      <c r="F147" s="23"/>
      <c r="G147" s="23"/>
      <c r="H147" s="24"/>
      <c r="I147" s="24"/>
      <c r="J147" s="24"/>
      <c r="K147" s="16"/>
      <c r="L147" s="16"/>
      <c r="M147" s="24"/>
      <c r="N147" s="24"/>
      <c r="O147" s="24"/>
      <c r="P147" s="16"/>
      <c r="Q147" s="16"/>
      <c r="R147" s="268"/>
      <c r="S147" s="16"/>
      <c r="T147" s="34"/>
    </row>
    <row r="148" spans="2:20" s="12" customFormat="1" ht="18" customHeight="1" x14ac:dyDescent="0.3">
      <c r="B148" s="354"/>
      <c r="C148" s="22"/>
      <c r="D148" s="35"/>
      <c r="E148" s="23"/>
      <c r="F148" s="23"/>
      <c r="G148" s="23"/>
      <c r="H148" s="24"/>
      <c r="I148" s="24"/>
      <c r="J148" s="24"/>
      <c r="K148" s="16"/>
      <c r="L148" s="16"/>
      <c r="M148" s="24"/>
      <c r="N148" s="24"/>
      <c r="O148" s="24"/>
      <c r="P148" s="16"/>
      <c r="Q148" s="16"/>
      <c r="R148" s="268"/>
      <c r="S148" s="16"/>
      <c r="T148" s="34"/>
    </row>
    <row r="149" spans="2:20" s="12" customFormat="1" ht="18" customHeight="1" x14ac:dyDescent="0.3">
      <c r="B149" s="354"/>
      <c r="C149" s="22"/>
      <c r="D149" s="35"/>
      <c r="E149" s="23"/>
      <c r="F149" s="23"/>
      <c r="G149" s="23"/>
      <c r="H149" s="24"/>
      <c r="I149" s="24"/>
      <c r="J149" s="24"/>
      <c r="K149" s="16"/>
      <c r="L149" s="16"/>
      <c r="M149" s="24"/>
      <c r="N149" s="24"/>
      <c r="O149" s="24"/>
      <c r="P149" s="16"/>
      <c r="Q149" s="16"/>
      <c r="R149" s="268"/>
      <c r="S149" s="16"/>
      <c r="T149" s="34"/>
    </row>
    <row r="150" spans="2:20" s="12" customFormat="1" ht="18" customHeight="1" x14ac:dyDescent="0.3">
      <c r="B150" s="354"/>
      <c r="C150" s="22"/>
      <c r="D150" s="35"/>
      <c r="E150" s="23"/>
      <c r="F150" s="23"/>
      <c r="G150" s="23"/>
      <c r="H150" s="24"/>
      <c r="I150" s="24"/>
      <c r="J150" s="24"/>
      <c r="K150" s="16"/>
      <c r="L150" s="16"/>
      <c r="M150" s="24"/>
      <c r="N150" s="24"/>
      <c r="O150" s="24"/>
      <c r="P150" s="16"/>
      <c r="Q150" s="16"/>
      <c r="R150" s="268"/>
      <c r="S150" s="16"/>
      <c r="T150" s="34"/>
    </row>
    <row r="151" spans="2:20" s="12" customFormat="1" ht="18" customHeight="1" x14ac:dyDescent="0.3">
      <c r="B151" s="354"/>
      <c r="C151" s="353" t="s">
        <v>200</v>
      </c>
      <c r="D151" s="353"/>
      <c r="E151" s="353"/>
      <c r="F151" s="353"/>
      <c r="G151" s="353"/>
      <c r="H151" s="18">
        <f>SUM(H140:H150)</f>
        <v>0</v>
      </c>
      <c r="I151" s="18">
        <f t="shared" ref="I151:S151" si="44">SUM(I140:I150)</f>
        <v>0</v>
      </c>
      <c r="J151" s="18">
        <f t="shared" si="44"/>
        <v>0</v>
      </c>
      <c r="K151" s="18">
        <f t="shared" si="44"/>
        <v>0</v>
      </c>
      <c r="L151" s="18">
        <f>SUM(L140:L150)</f>
        <v>0</v>
      </c>
      <c r="M151" s="18">
        <f t="shared" ref="M151:N151" si="45">SUM(M140:M150)</f>
        <v>0</v>
      </c>
      <c r="N151" s="18">
        <f t="shared" si="45"/>
        <v>0</v>
      </c>
      <c r="O151" s="18">
        <f t="shared" si="44"/>
        <v>0</v>
      </c>
      <c r="P151" s="18">
        <f t="shared" si="44"/>
        <v>0</v>
      </c>
      <c r="Q151" s="18">
        <f t="shared" si="44"/>
        <v>0</v>
      </c>
      <c r="R151" s="273">
        <f t="shared" si="44"/>
        <v>0</v>
      </c>
      <c r="S151" s="18">
        <f t="shared" si="44"/>
        <v>0</v>
      </c>
      <c r="T151" s="73"/>
    </row>
    <row r="152" spans="2:20" s="12" customFormat="1" ht="18" customHeight="1" x14ac:dyDescent="0.3">
      <c r="B152" s="341" t="s">
        <v>450</v>
      </c>
      <c r="C152" s="22"/>
      <c r="D152" s="35"/>
      <c r="E152" s="23"/>
      <c r="F152" s="23"/>
      <c r="G152" s="23"/>
      <c r="H152" s="24"/>
      <c r="I152" s="24"/>
      <c r="J152" s="24"/>
      <c r="K152" s="16"/>
      <c r="L152" s="16"/>
      <c r="M152" s="24"/>
      <c r="N152" s="16"/>
      <c r="O152" s="16"/>
      <c r="P152" s="16"/>
      <c r="Q152" s="16"/>
      <c r="R152" s="268"/>
      <c r="S152" s="16"/>
      <c r="T152" s="34"/>
    </row>
    <row r="153" spans="2:20" s="12" customFormat="1" ht="18" customHeight="1" x14ac:dyDescent="0.3">
      <c r="B153" s="342"/>
      <c r="C153" s="22"/>
      <c r="D153" s="35"/>
      <c r="E153" s="23"/>
      <c r="F153" s="23"/>
      <c r="G153" s="23"/>
      <c r="H153" s="24"/>
      <c r="I153" s="24"/>
      <c r="J153" s="24"/>
      <c r="K153" s="16"/>
      <c r="L153" s="16"/>
      <c r="M153" s="24"/>
      <c r="N153" s="16"/>
      <c r="O153" s="16"/>
      <c r="P153" s="16"/>
      <c r="Q153" s="16"/>
      <c r="R153" s="268"/>
      <c r="S153" s="16"/>
      <c r="T153" s="34"/>
    </row>
    <row r="154" spans="2:20" s="12" customFormat="1" ht="18" customHeight="1" x14ac:dyDescent="0.3">
      <c r="B154" s="342"/>
      <c r="C154" s="22"/>
      <c r="D154" s="35"/>
      <c r="E154" s="23"/>
      <c r="F154" s="23"/>
      <c r="G154" s="23"/>
      <c r="H154" s="24"/>
      <c r="I154" s="24"/>
      <c r="J154" s="24"/>
      <c r="K154" s="16"/>
      <c r="L154" s="16"/>
      <c r="M154" s="24"/>
      <c r="N154" s="16"/>
      <c r="O154" s="16"/>
      <c r="P154" s="16"/>
      <c r="Q154" s="16"/>
      <c r="R154" s="268"/>
      <c r="S154" s="16"/>
      <c r="T154" s="34"/>
    </row>
    <row r="155" spans="2:20" s="12" customFormat="1" ht="18" customHeight="1" x14ac:dyDescent="0.3">
      <c r="B155" s="342"/>
      <c r="C155" s="22"/>
      <c r="D155" s="35"/>
      <c r="E155" s="23"/>
      <c r="F155" s="23"/>
      <c r="G155" s="23"/>
      <c r="H155" s="24"/>
      <c r="I155" s="24">
        <f t="shared" ref="I153:I156" si="46">+H155*18%</f>
        <v>0</v>
      </c>
      <c r="J155" s="24">
        <f t="shared" ref="J153:J156" si="47">-H155*3%</f>
        <v>0</v>
      </c>
      <c r="K155" s="16">
        <f t="shared" ref="K153:K156" si="48">+H155+J155</f>
        <v>0</v>
      </c>
      <c r="L155" s="16">
        <f t="shared" ref="L153:L156" si="49">H155+I155+J155</f>
        <v>0</v>
      </c>
      <c r="M155" s="24"/>
      <c r="N155" s="16">
        <f t="shared" ref="N153:N156" si="50">+M155-I155-J155</f>
        <v>0</v>
      </c>
      <c r="O155" s="16">
        <f t="shared" ref="O153:O156" si="51">+M155-I155</f>
        <v>0</v>
      </c>
      <c r="P155" s="16">
        <f t="shared" ref="P153:P156" si="52">+L155-M155</f>
        <v>0</v>
      </c>
      <c r="Q155" s="16">
        <f t="shared" ref="Q153:Q156" si="53">+P155</f>
        <v>0</v>
      </c>
      <c r="R155" s="268">
        <f t="shared" ref="R153:R156" si="54">H155-N155</f>
        <v>0</v>
      </c>
      <c r="S155" s="16">
        <f t="shared" ref="S153:S156" si="55">Q155</f>
        <v>0</v>
      </c>
      <c r="T155" s="34">
        <f t="shared" ref="T153:T156" si="56">+F155+30</f>
        <v>30</v>
      </c>
    </row>
    <row r="156" spans="2:20" s="12" customFormat="1" ht="18" customHeight="1" x14ac:dyDescent="0.3">
      <c r="B156" s="342"/>
      <c r="C156" s="22"/>
      <c r="D156" s="35"/>
      <c r="E156" s="23"/>
      <c r="F156" s="23"/>
      <c r="G156" s="23"/>
      <c r="H156" s="24"/>
      <c r="I156" s="24">
        <f t="shared" si="46"/>
        <v>0</v>
      </c>
      <c r="J156" s="24">
        <f t="shared" si="47"/>
        <v>0</v>
      </c>
      <c r="K156" s="16">
        <f t="shared" si="48"/>
        <v>0</v>
      </c>
      <c r="L156" s="16">
        <f t="shared" si="49"/>
        <v>0</v>
      </c>
      <c r="M156" s="24"/>
      <c r="N156" s="16">
        <f t="shared" si="50"/>
        <v>0</v>
      </c>
      <c r="O156" s="16">
        <f t="shared" si="51"/>
        <v>0</v>
      </c>
      <c r="P156" s="16">
        <f t="shared" si="52"/>
        <v>0</v>
      </c>
      <c r="Q156" s="16">
        <f t="shared" si="53"/>
        <v>0</v>
      </c>
      <c r="R156" s="268">
        <f t="shared" si="54"/>
        <v>0</v>
      </c>
      <c r="S156" s="16">
        <f t="shared" si="55"/>
        <v>0</v>
      </c>
      <c r="T156" s="34">
        <f t="shared" si="56"/>
        <v>30</v>
      </c>
    </row>
    <row r="157" spans="2:20" s="12" customFormat="1" ht="18" customHeight="1" x14ac:dyDescent="0.3">
      <c r="B157" s="343"/>
      <c r="C157" s="353" t="s">
        <v>200</v>
      </c>
      <c r="D157" s="353"/>
      <c r="E157" s="353"/>
      <c r="F157" s="353"/>
      <c r="G157" s="353"/>
      <c r="H157" s="18">
        <f>SUM(H152:H156)</f>
        <v>0</v>
      </c>
      <c r="I157" s="18">
        <f t="shared" ref="I157:S157" si="57">SUM(I152:I156)</f>
        <v>0</v>
      </c>
      <c r="J157" s="18">
        <f t="shared" si="57"/>
        <v>0</v>
      </c>
      <c r="K157" s="18">
        <f t="shared" si="57"/>
        <v>0</v>
      </c>
      <c r="L157" s="18">
        <f t="shared" si="57"/>
        <v>0</v>
      </c>
      <c r="M157" s="18">
        <f t="shared" si="57"/>
        <v>0</v>
      </c>
      <c r="N157" s="18">
        <f t="shared" si="57"/>
        <v>0</v>
      </c>
      <c r="O157" s="18">
        <f t="shared" si="57"/>
        <v>0</v>
      </c>
      <c r="P157" s="18">
        <f t="shared" si="57"/>
        <v>0</v>
      </c>
      <c r="Q157" s="18">
        <f t="shared" si="57"/>
        <v>0</v>
      </c>
      <c r="R157" s="18">
        <f t="shared" si="57"/>
        <v>0</v>
      </c>
      <c r="S157" s="18">
        <f t="shared" si="57"/>
        <v>0</v>
      </c>
      <c r="T157" s="73"/>
    </row>
    <row r="158" spans="2:20" s="12" customFormat="1" ht="18" customHeight="1" x14ac:dyDescent="0.3">
      <c r="B158" s="341" t="s">
        <v>457</v>
      </c>
      <c r="C158" s="278"/>
      <c r="D158" s="35"/>
      <c r="E158" s="23"/>
      <c r="F158" s="23"/>
      <c r="G158" s="23"/>
      <c r="H158" s="24"/>
      <c r="I158" s="24"/>
      <c r="J158" s="24"/>
      <c r="K158" s="16"/>
      <c r="L158" s="16"/>
      <c r="M158" s="24"/>
      <c r="N158" s="16"/>
      <c r="O158" s="16"/>
      <c r="P158" s="16"/>
      <c r="Q158" s="16"/>
      <c r="R158" s="268"/>
      <c r="S158" s="16"/>
      <c r="T158" s="34"/>
    </row>
    <row r="159" spans="2:20" s="12" customFormat="1" ht="18" customHeight="1" x14ac:dyDescent="0.3">
      <c r="B159" s="342"/>
      <c r="C159" s="278"/>
      <c r="D159" s="35"/>
      <c r="E159" s="23"/>
      <c r="F159" s="23"/>
      <c r="G159" s="23"/>
      <c r="H159" s="24"/>
      <c r="I159" s="24"/>
      <c r="J159" s="24"/>
      <c r="K159" s="16"/>
      <c r="L159" s="16"/>
      <c r="M159" s="24"/>
      <c r="N159" s="16"/>
      <c r="O159" s="16"/>
      <c r="P159" s="16"/>
      <c r="Q159" s="16"/>
      <c r="R159" s="268"/>
      <c r="S159" s="16"/>
      <c r="T159" s="34"/>
    </row>
    <row r="160" spans="2:20" s="12" customFormat="1" ht="18" customHeight="1" x14ac:dyDescent="0.3">
      <c r="B160" s="342"/>
      <c r="C160" s="278"/>
      <c r="D160" s="35"/>
      <c r="E160" s="23"/>
      <c r="F160" s="23"/>
      <c r="G160" s="23"/>
      <c r="H160" s="24"/>
      <c r="I160" s="24"/>
      <c r="J160" s="24"/>
      <c r="K160" s="16"/>
      <c r="L160" s="16"/>
      <c r="M160" s="24"/>
      <c r="N160" s="16"/>
      <c r="O160" s="16"/>
      <c r="P160" s="16"/>
      <c r="Q160" s="16"/>
      <c r="R160" s="268"/>
      <c r="S160" s="16"/>
      <c r="T160" s="34"/>
    </row>
    <row r="161" spans="2:22" s="12" customFormat="1" ht="18" customHeight="1" x14ac:dyDescent="0.3">
      <c r="B161" s="342"/>
      <c r="C161" s="278"/>
      <c r="D161" s="35"/>
      <c r="E161" s="23"/>
      <c r="F161" s="23"/>
      <c r="G161" s="23"/>
      <c r="H161" s="24"/>
      <c r="I161" s="24"/>
      <c r="J161" s="24"/>
      <c r="K161" s="16"/>
      <c r="L161" s="16"/>
      <c r="M161" s="24"/>
      <c r="N161" s="16"/>
      <c r="O161" s="16"/>
      <c r="P161" s="16"/>
      <c r="Q161" s="16"/>
      <c r="R161" s="268"/>
      <c r="S161" s="16"/>
      <c r="T161" s="34"/>
    </row>
    <row r="162" spans="2:22" s="12" customFormat="1" ht="18" customHeight="1" x14ac:dyDescent="0.3">
      <c r="B162" s="342"/>
      <c r="C162" s="278"/>
      <c r="D162" s="35"/>
      <c r="E162" s="23"/>
      <c r="F162" s="23"/>
      <c r="G162" s="23"/>
      <c r="H162" s="24"/>
      <c r="I162" s="24">
        <f t="shared" ref="I159:I164" si="58">+H162*18%</f>
        <v>0</v>
      </c>
      <c r="J162" s="24">
        <f t="shared" ref="J159:J164" si="59">-H162*3%</f>
        <v>0</v>
      </c>
      <c r="K162" s="16">
        <f t="shared" ref="K159:K164" si="60">+H162+J162</f>
        <v>0</v>
      </c>
      <c r="L162" s="16">
        <f t="shared" ref="L159:L164" si="61">H162+I162+J162</f>
        <v>0</v>
      </c>
      <c r="M162" s="24"/>
      <c r="N162" s="16"/>
      <c r="O162" s="16"/>
      <c r="P162" s="16">
        <f t="shared" ref="P159:P164" si="62">+L162-M162</f>
        <v>0</v>
      </c>
      <c r="Q162" s="16">
        <f t="shared" ref="Q159:Q164" si="63">+P162</f>
        <v>0</v>
      </c>
      <c r="R162" s="268">
        <f t="shared" ref="R159:R164" si="64">H162-N162</f>
        <v>0</v>
      </c>
      <c r="S162" s="16">
        <f t="shared" ref="S159:S164" si="65">Q162</f>
        <v>0</v>
      </c>
      <c r="T162" s="34">
        <f t="shared" ref="T159:T164" si="66">+F162+30</f>
        <v>30</v>
      </c>
    </row>
    <row r="163" spans="2:22" s="12" customFormat="1" ht="18" customHeight="1" x14ac:dyDescent="0.3">
      <c r="B163" s="342"/>
      <c r="C163" s="278"/>
      <c r="D163" s="35"/>
      <c r="E163" s="23"/>
      <c r="F163" s="23"/>
      <c r="G163" s="23"/>
      <c r="H163" s="24"/>
      <c r="I163" s="24">
        <f t="shared" si="58"/>
        <v>0</v>
      </c>
      <c r="J163" s="24">
        <f t="shared" si="59"/>
        <v>0</v>
      </c>
      <c r="K163" s="16">
        <f t="shared" si="60"/>
        <v>0</v>
      </c>
      <c r="L163" s="16">
        <f t="shared" si="61"/>
        <v>0</v>
      </c>
      <c r="M163" s="24"/>
      <c r="N163" s="16"/>
      <c r="O163" s="16"/>
      <c r="P163" s="16">
        <f t="shared" si="62"/>
        <v>0</v>
      </c>
      <c r="Q163" s="16">
        <f t="shared" si="63"/>
        <v>0</v>
      </c>
      <c r="R163" s="268">
        <f t="shared" si="64"/>
        <v>0</v>
      </c>
      <c r="S163" s="16">
        <f t="shared" si="65"/>
        <v>0</v>
      </c>
      <c r="T163" s="34">
        <f t="shared" si="66"/>
        <v>30</v>
      </c>
    </row>
    <row r="164" spans="2:22" s="12" customFormat="1" ht="18" customHeight="1" x14ac:dyDescent="0.3">
      <c r="B164" s="342"/>
      <c r="C164" s="278"/>
      <c r="D164" s="35"/>
      <c r="E164" s="23"/>
      <c r="F164" s="23"/>
      <c r="G164" s="23"/>
      <c r="H164" s="24"/>
      <c r="I164" s="24">
        <f t="shared" si="58"/>
        <v>0</v>
      </c>
      <c r="J164" s="24">
        <f t="shared" si="59"/>
        <v>0</v>
      </c>
      <c r="K164" s="16">
        <f t="shared" si="60"/>
        <v>0</v>
      </c>
      <c r="L164" s="16">
        <f t="shared" si="61"/>
        <v>0</v>
      </c>
      <c r="M164" s="24"/>
      <c r="N164" s="16"/>
      <c r="O164" s="16"/>
      <c r="P164" s="16">
        <f t="shared" si="62"/>
        <v>0</v>
      </c>
      <c r="Q164" s="16">
        <f t="shared" si="63"/>
        <v>0</v>
      </c>
      <c r="R164" s="268">
        <f t="shared" si="64"/>
        <v>0</v>
      </c>
      <c r="S164" s="16">
        <f t="shared" si="65"/>
        <v>0</v>
      </c>
      <c r="T164" s="34">
        <f t="shared" si="66"/>
        <v>30</v>
      </c>
    </row>
    <row r="165" spans="2:22" s="12" customFormat="1" ht="18" customHeight="1" x14ac:dyDescent="0.3">
      <c r="B165" s="343"/>
      <c r="C165" s="353" t="s">
        <v>200</v>
      </c>
      <c r="D165" s="353"/>
      <c r="E165" s="353"/>
      <c r="F165" s="353"/>
      <c r="G165" s="353"/>
      <c r="H165" s="18">
        <f>SUM(H160:H164)</f>
        <v>0</v>
      </c>
      <c r="I165" s="18">
        <f t="shared" ref="I165:S165" si="67">SUM(I160:I164)</f>
        <v>0</v>
      </c>
      <c r="J165" s="18">
        <f t="shared" si="67"/>
        <v>0</v>
      </c>
      <c r="K165" s="18">
        <f t="shared" si="67"/>
        <v>0</v>
      </c>
      <c r="L165" s="18">
        <f t="shared" si="67"/>
        <v>0</v>
      </c>
      <c r="M165" s="18">
        <f t="shared" si="67"/>
        <v>0</v>
      </c>
      <c r="N165" s="18">
        <f t="shared" si="67"/>
        <v>0</v>
      </c>
      <c r="O165" s="18">
        <f t="shared" si="67"/>
        <v>0</v>
      </c>
      <c r="P165" s="18">
        <f t="shared" si="67"/>
        <v>0</v>
      </c>
      <c r="Q165" s="18">
        <f t="shared" si="67"/>
        <v>0</v>
      </c>
      <c r="R165" s="18">
        <f t="shared" si="67"/>
        <v>0</v>
      </c>
      <c r="S165" s="18">
        <f t="shared" si="67"/>
        <v>0</v>
      </c>
      <c r="T165" s="73"/>
    </row>
    <row r="166" spans="2:22" s="12" customFormat="1" ht="18" customHeight="1" x14ac:dyDescent="0.3">
      <c r="B166" s="341" t="s">
        <v>15</v>
      </c>
      <c r="C166" s="278"/>
      <c r="D166" s="35"/>
      <c r="E166" s="23"/>
      <c r="F166" s="23"/>
      <c r="G166" s="23"/>
      <c r="H166" s="24"/>
      <c r="I166" s="24"/>
      <c r="J166" s="24"/>
      <c r="K166" s="16"/>
      <c r="L166" s="16"/>
      <c r="M166" s="24"/>
      <c r="N166" s="16"/>
      <c r="O166" s="16"/>
      <c r="P166" s="16"/>
      <c r="Q166" s="16"/>
      <c r="R166" s="16"/>
      <c r="S166" s="16"/>
      <c r="T166" s="34"/>
    </row>
    <row r="167" spans="2:22" s="12" customFormat="1" ht="18" customHeight="1" x14ac:dyDescent="0.3">
      <c r="B167" s="342"/>
      <c r="C167" s="22"/>
      <c r="D167" s="35"/>
      <c r="E167" s="23"/>
      <c r="F167" s="23"/>
      <c r="G167" s="23"/>
      <c r="H167" s="24"/>
      <c r="I167" s="24"/>
      <c r="J167" s="24"/>
      <c r="K167" s="16"/>
      <c r="L167" s="16"/>
      <c r="M167" s="24"/>
      <c r="N167" s="24"/>
      <c r="O167" s="24"/>
      <c r="P167" s="16"/>
      <c r="Q167" s="16"/>
      <c r="R167" s="16"/>
      <c r="S167" s="16"/>
      <c r="T167" s="34"/>
    </row>
    <row r="168" spans="2:22" s="12" customFormat="1" ht="18" customHeight="1" x14ac:dyDescent="0.3">
      <c r="B168" s="342"/>
      <c r="C168" s="22"/>
      <c r="D168" s="35"/>
      <c r="E168" s="23"/>
      <c r="F168" s="23"/>
      <c r="G168" s="23"/>
      <c r="H168" s="24"/>
      <c r="I168" s="24"/>
      <c r="J168" s="24"/>
      <c r="K168" s="16"/>
      <c r="L168" s="16"/>
      <c r="M168" s="24"/>
      <c r="N168" s="24"/>
      <c r="O168" s="24"/>
      <c r="P168" s="16"/>
      <c r="Q168" s="16"/>
      <c r="R168" s="16"/>
      <c r="S168" s="16"/>
      <c r="T168" s="34"/>
    </row>
    <row r="169" spans="2:22" s="12" customFormat="1" ht="18" customHeight="1" x14ac:dyDescent="0.3">
      <c r="B169" s="342"/>
      <c r="C169" s="22"/>
      <c r="D169" s="35"/>
      <c r="E169" s="23"/>
      <c r="F169" s="23"/>
      <c r="G169" s="23"/>
      <c r="H169" s="24"/>
      <c r="I169" s="24"/>
      <c r="J169" s="24"/>
      <c r="K169" s="16"/>
      <c r="L169" s="16">
        <f t="shared" ref="L167:L169" si="68">K169</f>
        <v>0</v>
      </c>
      <c r="M169" s="24"/>
      <c r="N169" s="24">
        <f t="shared" ref="N168:N169" si="69">M169</f>
        <v>0</v>
      </c>
      <c r="O169" s="24">
        <f t="shared" ref="O168:O169" si="70">M169</f>
        <v>0</v>
      </c>
      <c r="P169" s="16">
        <f t="shared" ref="P168:P169" si="71">L169-M169</f>
        <v>0</v>
      </c>
      <c r="Q169" s="16">
        <f t="shared" ref="Q168:Q169" si="72">L169-M169</f>
        <v>0</v>
      </c>
      <c r="R169" s="16">
        <f t="shared" ref="R168:R169" si="73">L169-M169</f>
        <v>0</v>
      </c>
      <c r="S169" s="16">
        <f t="shared" ref="S168:S169" si="74">L169-M169</f>
        <v>0</v>
      </c>
      <c r="T169" s="34">
        <f>+F169+30</f>
        <v>30</v>
      </c>
    </row>
    <row r="170" spans="2:22" s="12" customFormat="1" ht="18" customHeight="1" x14ac:dyDescent="0.3">
      <c r="B170" s="343"/>
      <c r="C170" s="344" t="s">
        <v>18</v>
      </c>
      <c r="D170" s="345"/>
      <c r="E170" s="345"/>
      <c r="F170" s="345"/>
      <c r="G170" s="346"/>
      <c r="H170" s="18">
        <f>SUM(H166:H169)</f>
        <v>0</v>
      </c>
      <c r="I170" s="18">
        <f t="shared" ref="I170:S170" si="75">SUM(I166:I169)</f>
        <v>0</v>
      </c>
      <c r="J170" s="18">
        <f t="shared" si="75"/>
        <v>0</v>
      </c>
      <c r="K170" s="18">
        <f t="shared" si="75"/>
        <v>0</v>
      </c>
      <c r="L170" s="18">
        <f t="shared" si="75"/>
        <v>0</v>
      </c>
      <c r="M170" s="18">
        <f>SUM(M166:M169)</f>
        <v>0</v>
      </c>
      <c r="N170" s="18">
        <f>SUM(N166:N169)</f>
        <v>0</v>
      </c>
      <c r="O170" s="18">
        <f t="shared" si="75"/>
        <v>0</v>
      </c>
      <c r="P170" s="18">
        <f t="shared" si="75"/>
        <v>0</v>
      </c>
      <c r="Q170" s="18">
        <f>SUM(Q166:Q169)</f>
        <v>0</v>
      </c>
      <c r="R170" s="273">
        <f t="shared" si="75"/>
        <v>0</v>
      </c>
      <c r="S170" s="18">
        <f t="shared" si="75"/>
        <v>0</v>
      </c>
      <c r="T170" s="73"/>
    </row>
    <row r="171" spans="2:22" s="25" customFormat="1" ht="18" customHeight="1" x14ac:dyDescent="0.3">
      <c r="B171" s="341" t="s">
        <v>458</v>
      </c>
      <c r="C171" s="262"/>
      <c r="D171" s="263"/>
      <c r="E171" s="75"/>
      <c r="F171" s="75"/>
      <c r="G171" s="262"/>
      <c r="H171" s="24"/>
      <c r="I171" s="24"/>
      <c r="J171" s="24"/>
      <c r="K171" s="16"/>
      <c r="L171" s="16"/>
      <c r="M171" s="24"/>
      <c r="N171" s="24"/>
      <c r="O171" s="24"/>
      <c r="P171" s="16"/>
      <c r="Q171" s="16"/>
      <c r="R171" s="268"/>
      <c r="S171" s="16"/>
      <c r="T171" s="34"/>
      <c r="U171" s="294" t="s">
        <v>454</v>
      </c>
      <c r="V171" s="295">
        <f>L171-M171</f>
        <v>0</v>
      </c>
    </row>
    <row r="172" spans="2:22" s="12" customFormat="1" ht="18" customHeight="1" x14ac:dyDescent="0.3">
      <c r="B172" s="342"/>
      <c r="C172" s="262"/>
      <c r="D172" s="263"/>
      <c r="E172" s="75"/>
      <c r="F172" s="75"/>
      <c r="G172" s="262"/>
      <c r="H172" s="24"/>
      <c r="I172" s="24"/>
      <c r="J172" s="24"/>
      <c r="K172" s="16"/>
      <c r="L172" s="16"/>
      <c r="M172" s="24"/>
      <c r="N172" s="24"/>
      <c r="O172" s="24"/>
      <c r="P172" s="16"/>
      <c r="Q172" s="16"/>
      <c r="R172" s="268"/>
      <c r="S172" s="16"/>
      <c r="T172" s="34"/>
    </row>
    <row r="173" spans="2:22" s="12" customFormat="1" ht="18" customHeight="1" x14ac:dyDescent="0.3">
      <c r="B173" s="342"/>
      <c r="C173" s="262"/>
      <c r="D173" s="263"/>
      <c r="E173" s="75"/>
      <c r="F173" s="75"/>
      <c r="G173" s="262"/>
      <c r="H173" s="24"/>
      <c r="I173" s="24"/>
      <c r="J173" s="24"/>
      <c r="K173" s="16"/>
      <c r="L173" s="16"/>
      <c r="M173" s="24"/>
      <c r="N173" s="24"/>
      <c r="O173" s="24"/>
      <c r="P173" s="16"/>
      <c r="Q173" s="16"/>
      <c r="R173" s="268"/>
      <c r="S173" s="16"/>
      <c r="T173" s="34"/>
    </row>
    <row r="174" spans="2:22" s="12" customFormat="1" ht="18" customHeight="1" x14ac:dyDescent="0.3">
      <c r="B174" s="342"/>
      <c r="C174" s="262"/>
      <c r="D174" s="263"/>
      <c r="E174" s="75"/>
      <c r="F174" s="75"/>
      <c r="G174" s="262"/>
      <c r="H174" s="24"/>
      <c r="I174" s="24"/>
      <c r="J174" s="24"/>
      <c r="K174" s="16"/>
      <c r="L174" s="16"/>
      <c r="M174" s="24"/>
      <c r="N174" s="24"/>
      <c r="O174" s="24"/>
      <c r="P174" s="16"/>
      <c r="Q174" s="16"/>
      <c r="R174" s="268"/>
      <c r="S174" s="16"/>
      <c r="T174" s="34"/>
    </row>
    <row r="175" spans="2:22" s="12" customFormat="1" ht="18" customHeight="1" x14ac:dyDescent="0.3">
      <c r="B175" s="342"/>
      <c r="C175" s="262"/>
      <c r="D175" s="263"/>
      <c r="E175" s="75"/>
      <c r="F175" s="75"/>
      <c r="G175" s="73"/>
      <c r="H175" s="24"/>
      <c r="I175" s="24"/>
      <c r="J175" s="24"/>
      <c r="K175" s="16"/>
      <c r="L175" s="16"/>
      <c r="M175" s="24"/>
      <c r="N175" s="24"/>
      <c r="O175" s="24"/>
      <c r="P175" s="16"/>
      <c r="Q175" s="16"/>
      <c r="R175" s="268"/>
      <c r="S175" s="16"/>
      <c r="T175" s="34"/>
    </row>
    <row r="176" spans="2:22" s="12" customFormat="1" ht="18" customHeight="1" x14ac:dyDescent="0.3">
      <c r="B176" s="342"/>
      <c r="C176" s="262"/>
      <c r="D176" s="263"/>
      <c r="E176" s="75"/>
      <c r="F176" s="75"/>
      <c r="H176" s="24"/>
      <c r="I176" s="24"/>
      <c r="J176" s="24"/>
      <c r="K176" s="16"/>
      <c r="L176" s="16"/>
      <c r="M176" s="24"/>
      <c r="N176" s="24"/>
      <c r="O176" s="24"/>
      <c r="P176" s="16"/>
      <c r="Q176" s="16"/>
      <c r="R176" s="268"/>
      <c r="S176" s="16"/>
      <c r="T176" s="34"/>
    </row>
    <row r="177" spans="2:20" s="12" customFormat="1" ht="18" customHeight="1" x14ac:dyDescent="0.3">
      <c r="B177" s="342"/>
      <c r="C177" s="262"/>
      <c r="D177" s="263"/>
      <c r="E177" s="75"/>
      <c r="F177" s="75"/>
      <c r="G177" s="262"/>
      <c r="H177" s="24"/>
      <c r="I177" s="24">
        <f t="shared" ref="I172:I177" si="76">+H177*18%</f>
        <v>0</v>
      </c>
      <c r="J177" s="24">
        <f t="shared" ref="J172:J177" si="77">-H177*3%</f>
        <v>0</v>
      </c>
      <c r="K177" s="16">
        <f t="shared" ref="K172:K177" si="78">+H177+J177</f>
        <v>0</v>
      </c>
      <c r="L177" s="16">
        <f t="shared" ref="L172:L177" si="79">H177+I177+J177</f>
        <v>0</v>
      </c>
      <c r="M177" s="24"/>
      <c r="N177" s="24"/>
      <c r="O177" s="24"/>
      <c r="P177" s="16">
        <f t="shared" ref="P172:P177" si="80">H177+I177</f>
        <v>0</v>
      </c>
      <c r="Q177" s="16">
        <f t="shared" ref="Q172:Q177" si="81">L177-M177</f>
        <v>0</v>
      </c>
      <c r="R177" s="268">
        <f t="shared" ref="R172:R177" si="82">H177-N177</f>
        <v>0</v>
      </c>
      <c r="S177" s="16">
        <f t="shared" ref="S172:S177" si="83">K177-O177</f>
        <v>0</v>
      </c>
      <c r="T177" s="34">
        <f t="shared" ref="T172:T177" si="84">+F177+30</f>
        <v>30</v>
      </c>
    </row>
    <row r="178" spans="2:20" s="12" customFormat="1" ht="18" customHeight="1" x14ac:dyDescent="0.3">
      <c r="B178" s="342"/>
      <c r="C178" s="262"/>
      <c r="D178" s="263"/>
      <c r="E178" s="75"/>
      <c r="F178" s="75"/>
      <c r="G178" s="262"/>
      <c r="H178" s="24"/>
      <c r="I178" s="24"/>
      <c r="J178" s="24"/>
      <c r="K178" s="16"/>
      <c r="L178" s="16"/>
      <c r="M178" s="24"/>
      <c r="N178" s="24"/>
      <c r="O178" s="24"/>
      <c r="P178" s="16"/>
      <c r="Q178" s="16"/>
      <c r="R178" s="268"/>
      <c r="S178" s="16"/>
      <c r="T178" s="34"/>
    </row>
    <row r="179" spans="2:20" s="12" customFormat="1" ht="18" customHeight="1" x14ac:dyDescent="0.3">
      <c r="B179" s="343"/>
      <c r="C179" s="344" t="s">
        <v>75</v>
      </c>
      <c r="D179" s="345"/>
      <c r="E179" s="345"/>
      <c r="F179" s="345"/>
      <c r="G179" s="346"/>
      <c r="H179" s="18">
        <f>SUM(H171:H178)</f>
        <v>0</v>
      </c>
      <c r="I179" s="18">
        <f t="shared" ref="I179:S179" si="85">SUM(I171:I178)</f>
        <v>0</v>
      </c>
      <c r="J179" s="18">
        <f t="shared" si="85"/>
        <v>0</v>
      </c>
      <c r="K179" s="18">
        <f t="shared" si="85"/>
        <v>0</v>
      </c>
      <c r="L179" s="18">
        <f t="shared" si="85"/>
        <v>0</v>
      </c>
      <c r="M179" s="18">
        <f t="shared" si="85"/>
        <v>0</v>
      </c>
      <c r="N179" s="18">
        <f t="shared" si="85"/>
        <v>0</v>
      </c>
      <c r="O179" s="18">
        <f t="shared" si="85"/>
        <v>0</v>
      </c>
      <c r="P179" s="18">
        <f t="shared" si="85"/>
        <v>0</v>
      </c>
      <c r="Q179" s="18">
        <f t="shared" si="85"/>
        <v>0</v>
      </c>
      <c r="R179" s="273">
        <f t="shared" si="85"/>
        <v>0</v>
      </c>
      <c r="S179" s="18">
        <f t="shared" si="85"/>
        <v>0</v>
      </c>
      <c r="T179" s="73"/>
    </row>
    <row r="180" spans="2:20" s="12" customFormat="1" ht="18" customHeight="1" x14ac:dyDescent="0.3">
      <c r="B180" s="341" t="s">
        <v>223</v>
      </c>
      <c r="C180" s="262"/>
      <c r="D180" s="263"/>
      <c r="E180" s="75"/>
      <c r="F180" s="75"/>
      <c r="G180" s="75"/>
      <c r="H180" s="24"/>
      <c r="I180" s="24"/>
      <c r="J180" s="24"/>
      <c r="K180" s="16"/>
      <c r="L180" s="16"/>
      <c r="M180" s="24"/>
      <c r="N180" s="16"/>
      <c r="O180" s="16"/>
      <c r="P180" s="16"/>
      <c r="Q180" s="16"/>
      <c r="R180" s="268"/>
      <c r="S180" s="16"/>
      <c r="T180" s="34"/>
    </row>
    <row r="181" spans="2:20" s="12" customFormat="1" ht="18" customHeight="1" x14ac:dyDescent="0.3">
      <c r="B181" s="342"/>
      <c r="C181" s="262"/>
      <c r="D181" s="263"/>
      <c r="E181" s="75"/>
      <c r="F181" s="75"/>
      <c r="G181" s="75"/>
      <c r="H181" s="24"/>
      <c r="I181" s="24"/>
      <c r="J181" s="24"/>
      <c r="K181" s="16"/>
      <c r="L181" s="16"/>
      <c r="M181" s="24"/>
      <c r="N181" s="16"/>
      <c r="O181" s="16"/>
      <c r="P181" s="16"/>
      <c r="Q181" s="16"/>
      <c r="R181" s="268"/>
      <c r="S181" s="16"/>
      <c r="T181" s="34"/>
    </row>
    <row r="182" spans="2:20" s="12" customFormat="1" ht="18" customHeight="1" x14ac:dyDescent="0.3">
      <c r="B182" s="342"/>
      <c r="C182" s="262"/>
      <c r="D182" s="263"/>
      <c r="E182" s="75"/>
      <c r="F182" s="75"/>
      <c r="G182" s="75"/>
      <c r="H182" s="24"/>
      <c r="I182" s="24"/>
      <c r="J182" s="24"/>
      <c r="K182" s="16"/>
      <c r="L182" s="16"/>
      <c r="M182" s="24"/>
      <c r="N182" s="16"/>
      <c r="O182" s="16"/>
      <c r="P182" s="16"/>
      <c r="Q182" s="16"/>
      <c r="R182" s="268"/>
      <c r="S182" s="16"/>
      <c r="T182" s="34"/>
    </row>
    <row r="183" spans="2:20" s="12" customFormat="1" ht="18" customHeight="1" x14ac:dyDescent="0.3">
      <c r="B183" s="342"/>
      <c r="C183" s="262"/>
      <c r="D183" s="263"/>
      <c r="E183" s="75"/>
      <c r="F183" s="75"/>
      <c r="G183" s="262"/>
      <c r="H183" s="24"/>
      <c r="I183" s="24"/>
      <c r="J183" s="24"/>
      <c r="K183" s="16"/>
      <c r="L183" s="16"/>
      <c r="M183" s="24"/>
      <c r="N183" s="24"/>
      <c r="O183" s="24"/>
      <c r="P183" s="16"/>
      <c r="Q183" s="16"/>
      <c r="R183" s="268"/>
      <c r="S183" s="16"/>
      <c r="T183" s="34"/>
    </row>
    <row r="184" spans="2:20" s="12" customFormat="1" ht="18" customHeight="1" x14ac:dyDescent="0.3">
      <c r="B184" s="342"/>
      <c r="C184" s="262"/>
      <c r="D184" s="263"/>
      <c r="E184" s="75"/>
      <c r="F184" s="75"/>
      <c r="G184" s="262"/>
      <c r="H184" s="24"/>
      <c r="I184" s="24"/>
      <c r="J184" s="24"/>
      <c r="K184" s="16"/>
      <c r="L184" s="16"/>
      <c r="M184" s="24"/>
      <c r="N184" s="24"/>
      <c r="O184" s="24"/>
      <c r="P184" s="16"/>
      <c r="Q184" s="16"/>
      <c r="R184" s="268"/>
      <c r="S184" s="16"/>
      <c r="T184" s="34"/>
    </row>
    <row r="185" spans="2:20" s="12" customFormat="1" ht="18" customHeight="1" x14ac:dyDescent="0.3">
      <c r="B185" s="342"/>
      <c r="C185" s="262"/>
      <c r="D185" s="263"/>
      <c r="E185" s="75"/>
      <c r="F185" s="75"/>
      <c r="G185" s="262"/>
      <c r="H185" s="24"/>
      <c r="I185" s="24"/>
      <c r="J185" s="24"/>
      <c r="K185" s="16"/>
      <c r="L185" s="16"/>
      <c r="M185" s="24"/>
      <c r="N185" s="24"/>
      <c r="O185" s="24"/>
      <c r="P185" s="16"/>
      <c r="Q185" s="16"/>
      <c r="R185" s="268"/>
      <c r="S185" s="16"/>
      <c r="T185" s="34"/>
    </row>
    <row r="186" spans="2:20" s="12" customFormat="1" ht="18" customHeight="1" x14ac:dyDescent="0.3">
      <c r="B186" s="342"/>
      <c r="C186" s="262"/>
      <c r="D186" s="263"/>
      <c r="E186" s="75"/>
      <c r="F186" s="75"/>
      <c r="G186" s="262"/>
      <c r="H186" s="24"/>
      <c r="I186" s="24">
        <f t="shared" ref="I186" si="86">+H186*18%</f>
        <v>0</v>
      </c>
      <c r="J186" s="24">
        <f t="shared" ref="J186" si="87">-H186*3%</f>
        <v>0</v>
      </c>
      <c r="K186" s="16">
        <f t="shared" ref="K180:K186" si="88">+H186+J186</f>
        <v>0</v>
      </c>
      <c r="L186" s="16">
        <f t="shared" ref="L180:L186" si="89">H186+I186+J186</f>
        <v>0</v>
      </c>
      <c r="M186" s="24"/>
      <c r="N186" s="24"/>
      <c r="O186" s="24"/>
      <c r="P186" s="16">
        <f t="shared" ref="P182:P186" si="90">+L186-M186</f>
        <v>0</v>
      </c>
      <c r="Q186" s="16">
        <f t="shared" ref="Q182:Q186" si="91">+P186</f>
        <v>0</v>
      </c>
      <c r="R186" s="268">
        <f t="shared" ref="R182:R186" si="92">H186-N186</f>
        <v>0</v>
      </c>
      <c r="S186" s="16">
        <f t="shared" ref="S186" si="93">Q186-I186</f>
        <v>0</v>
      </c>
      <c r="T186" s="34">
        <f t="shared" ref="T180:T186" si="94">+F186+30</f>
        <v>30</v>
      </c>
    </row>
    <row r="187" spans="2:20" s="12" customFormat="1" ht="18" customHeight="1" x14ac:dyDescent="0.3">
      <c r="B187" s="342"/>
      <c r="C187" s="344" t="s">
        <v>224</v>
      </c>
      <c r="D187" s="345"/>
      <c r="E187" s="345"/>
      <c r="F187" s="345"/>
      <c r="G187" s="346"/>
      <c r="H187" s="18">
        <f>SUM(H180:H186)</f>
        <v>0</v>
      </c>
      <c r="I187" s="18">
        <f t="shared" ref="I187:R187" si="95">SUM(I180:I186)</f>
        <v>0</v>
      </c>
      <c r="J187" s="18">
        <f t="shared" si="95"/>
        <v>0</v>
      </c>
      <c r="K187" s="18">
        <f t="shared" si="95"/>
        <v>0</v>
      </c>
      <c r="L187" s="18">
        <f t="shared" si="95"/>
        <v>0</v>
      </c>
      <c r="M187" s="18">
        <f t="shared" si="95"/>
        <v>0</v>
      </c>
      <c r="N187" s="18">
        <f t="shared" si="95"/>
        <v>0</v>
      </c>
      <c r="O187" s="18">
        <f t="shared" si="95"/>
        <v>0</v>
      </c>
      <c r="P187" s="18">
        <f t="shared" si="95"/>
        <v>0</v>
      </c>
      <c r="Q187" s="18">
        <f t="shared" si="95"/>
        <v>0</v>
      </c>
      <c r="R187" s="273">
        <f t="shared" si="95"/>
        <v>0</v>
      </c>
      <c r="S187" s="18">
        <f>SUM(S180:S186)</f>
        <v>0</v>
      </c>
      <c r="T187" s="73"/>
    </row>
    <row r="188" spans="2:20" s="12" customFormat="1" ht="18" customHeight="1" x14ac:dyDescent="0.3">
      <c r="B188" s="341" t="s">
        <v>225</v>
      </c>
      <c r="C188" s="262" t="s">
        <v>423</v>
      </c>
      <c r="D188" s="263" t="s">
        <v>41</v>
      </c>
      <c r="E188" s="75">
        <v>45797</v>
      </c>
      <c r="F188" s="75">
        <v>45799</v>
      </c>
      <c r="G188" s="75">
        <v>45835</v>
      </c>
      <c r="H188" s="24">
        <v>12000000</v>
      </c>
      <c r="I188" s="24">
        <f t="shared" ref="I188" si="96">+H188*18%</f>
        <v>2160000</v>
      </c>
      <c r="J188" s="24">
        <v>0</v>
      </c>
      <c r="K188" s="16">
        <f t="shared" ref="K188" si="97">+H188+J188</f>
        <v>12000000</v>
      </c>
      <c r="L188" s="16">
        <f t="shared" ref="L188" si="98">H188+I188+J188</f>
        <v>14160000</v>
      </c>
      <c r="M188" s="24">
        <v>14160000</v>
      </c>
      <c r="N188" s="16">
        <f t="shared" ref="N188" si="99">+M188-I188-J188</f>
        <v>12000000</v>
      </c>
      <c r="O188" s="16">
        <f t="shared" ref="O188" si="100">+M188-I188</f>
        <v>12000000</v>
      </c>
      <c r="P188" s="16">
        <f t="shared" ref="P188" si="101">+L188-M188</f>
        <v>0</v>
      </c>
      <c r="Q188" s="16">
        <f>L188-M188</f>
        <v>0</v>
      </c>
      <c r="R188" s="268">
        <f>H188-N188</f>
        <v>0</v>
      </c>
      <c r="S188" s="16">
        <f>K188-O188</f>
        <v>0</v>
      </c>
      <c r="T188" s="34">
        <f>+F188+30</f>
        <v>45829</v>
      </c>
    </row>
    <row r="189" spans="2:20" s="12" customFormat="1" ht="18" customHeight="1" x14ac:dyDescent="0.3">
      <c r="B189" s="342"/>
      <c r="C189" s="72"/>
      <c r="D189" s="72"/>
      <c r="E189" s="72"/>
      <c r="F189" s="72"/>
      <c r="G189" s="7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273"/>
      <c r="S189" s="18"/>
      <c r="T189" s="34">
        <f>+F189+30</f>
        <v>30</v>
      </c>
    </row>
    <row r="190" spans="2:20" s="12" customFormat="1" ht="18" customHeight="1" x14ac:dyDescent="0.3">
      <c r="B190" s="342"/>
      <c r="C190" s="72"/>
      <c r="D190" s="72"/>
      <c r="E190" s="72"/>
      <c r="F190" s="72"/>
      <c r="G190" s="7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273"/>
      <c r="S190" s="18"/>
      <c r="T190" s="34">
        <f>+F190+30</f>
        <v>30</v>
      </c>
    </row>
    <row r="191" spans="2:20" s="12" customFormat="1" ht="18" customHeight="1" x14ac:dyDescent="0.3">
      <c r="B191" s="342"/>
      <c r="C191" s="72"/>
      <c r="D191" s="72"/>
      <c r="E191" s="72"/>
      <c r="F191" s="72"/>
      <c r="G191" s="7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273"/>
      <c r="S191" s="18"/>
      <c r="T191" s="34">
        <f>+F191+30</f>
        <v>30</v>
      </c>
    </row>
    <row r="192" spans="2:20" s="12" customFormat="1" ht="18" customHeight="1" x14ac:dyDescent="0.3">
      <c r="B192" s="342"/>
      <c r="C192" s="72"/>
      <c r="D192" s="72"/>
      <c r="E192" s="72"/>
      <c r="F192" s="72"/>
      <c r="G192" s="7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273"/>
      <c r="S192" s="18"/>
      <c r="T192" s="34">
        <f>+F192+30</f>
        <v>30</v>
      </c>
    </row>
    <row r="193" spans="2:20" s="12" customFormat="1" ht="18" customHeight="1" x14ac:dyDescent="0.3">
      <c r="B193" s="343"/>
      <c r="C193" s="344" t="s">
        <v>226</v>
      </c>
      <c r="D193" s="345"/>
      <c r="E193" s="345"/>
      <c r="F193" s="345"/>
      <c r="G193" s="346"/>
      <c r="H193" s="18">
        <f>SUM(H188:H192)</f>
        <v>12000000</v>
      </c>
      <c r="I193" s="18">
        <f t="shared" ref="I193:S193" si="102">SUM(I188:I192)</f>
        <v>2160000</v>
      </c>
      <c r="J193" s="18">
        <f t="shared" si="102"/>
        <v>0</v>
      </c>
      <c r="K193" s="18">
        <f t="shared" si="102"/>
        <v>12000000</v>
      </c>
      <c r="L193" s="18">
        <f t="shared" si="102"/>
        <v>14160000</v>
      </c>
      <c r="M193" s="18">
        <f t="shared" si="102"/>
        <v>14160000</v>
      </c>
      <c r="N193" s="18">
        <f t="shared" si="102"/>
        <v>12000000</v>
      </c>
      <c r="O193" s="18">
        <f t="shared" si="102"/>
        <v>12000000</v>
      </c>
      <c r="P193" s="18">
        <f t="shared" si="102"/>
        <v>0</v>
      </c>
      <c r="Q193" s="18">
        <f t="shared" si="102"/>
        <v>0</v>
      </c>
      <c r="R193" s="273">
        <f t="shared" si="102"/>
        <v>0</v>
      </c>
      <c r="S193" s="18">
        <f t="shared" si="102"/>
        <v>0</v>
      </c>
      <c r="T193" s="73"/>
    </row>
    <row r="194" spans="2:20" s="12" customFormat="1" ht="24.75" customHeight="1" x14ac:dyDescent="0.3">
      <c r="B194" s="341" t="s">
        <v>408</v>
      </c>
      <c r="C194" s="262" t="s">
        <v>409</v>
      </c>
      <c r="D194" s="263" t="s">
        <v>410</v>
      </c>
      <c r="E194" s="75">
        <v>45776</v>
      </c>
      <c r="F194" s="75">
        <v>45779</v>
      </c>
      <c r="G194" s="75">
        <v>45838</v>
      </c>
      <c r="H194" s="24">
        <v>7930000</v>
      </c>
      <c r="I194" s="24">
        <f t="shared" ref="I194" si="103">+H194*18%</f>
        <v>1427400</v>
      </c>
      <c r="J194" s="24">
        <f t="shared" ref="J194" si="104">-H194*3%</f>
        <v>-237900</v>
      </c>
      <c r="K194" s="16">
        <f t="shared" ref="K194" si="105">+H194+J194</f>
        <v>7692100</v>
      </c>
      <c r="L194" s="16">
        <f t="shared" ref="L194" si="106">H194+I194+J194</f>
        <v>9119500</v>
      </c>
      <c r="M194" s="24">
        <v>9119500</v>
      </c>
      <c r="N194" s="16">
        <f t="shared" ref="N194" si="107">+M194-I194-J194</f>
        <v>7930000</v>
      </c>
      <c r="O194" s="16">
        <f t="shared" ref="O194" si="108">+M194-I194</f>
        <v>7692100</v>
      </c>
      <c r="P194" s="16">
        <f t="shared" ref="P194" si="109">+L194-M194</f>
        <v>0</v>
      </c>
      <c r="Q194" s="16">
        <f>L194-M194</f>
        <v>0</v>
      </c>
      <c r="R194" s="268">
        <f>H194-N194</f>
        <v>0</v>
      </c>
      <c r="S194" s="16">
        <f>K194-O194</f>
        <v>0</v>
      </c>
      <c r="T194" s="34">
        <f t="shared" ref="T194" si="110">+F194+30</f>
        <v>45809</v>
      </c>
    </row>
    <row r="195" spans="2:20" s="12" customFormat="1" ht="21" customHeight="1" x14ac:dyDescent="0.3">
      <c r="B195" s="343"/>
      <c r="C195" s="344" t="s">
        <v>17</v>
      </c>
      <c r="D195" s="345"/>
      <c r="E195" s="345"/>
      <c r="F195" s="345"/>
      <c r="G195" s="346"/>
      <c r="H195" s="18">
        <f t="shared" ref="H195:S195" si="111">SUM(H194:H194)</f>
        <v>7930000</v>
      </c>
      <c r="I195" s="18">
        <f t="shared" si="111"/>
        <v>1427400</v>
      </c>
      <c r="J195" s="18">
        <f t="shared" si="111"/>
        <v>-237900</v>
      </c>
      <c r="K195" s="18">
        <f t="shared" si="111"/>
        <v>7692100</v>
      </c>
      <c r="L195" s="18">
        <f t="shared" si="111"/>
        <v>9119500</v>
      </c>
      <c r="M195" s="18">
        <f t="shared" si="111"/>
        <v>9119500</v>
      </c>
      <c r="N195" s="18">
        <f t="shared" si="111"/>
        <v>7930000</v>
      </c>
      <c r="O195" s="18">
        <f t="shared" si="111"/>
        <v>7692100</v>
      </c>
      <c r="P195" s="18">
        <f t="shared" si="111"/>
        <v>0</v>
      </c>
      <c r="Q195" s="18">
        <f t="shared" si="111"/>
        <v>0</v>
      </c>
      <c r="R195" s="273">
        <f t="shared" si="111"/>
        <v>0</v>
      </c>
      <c r="S195" s="18">
        <f t="shared" si="111"/>
        <v>0</v>
      </c>
      <c r="T195" s="73"/>
    </row>
    <row r="196" spans="2:20" s="12" customFormat="1" ht="18" customHeight="1" x14ac:dyDescent="0.3">
      <c r="B196" s="341" t="s">
        <v>229</v>
      </c>
      <c r="C196" s="262" t="s">
        <v>403</v>
      </c>
      <c r="D196" s="263">
        <v>45748</v>
      </c>
      <c r="E196" s="75">
        <v>45772</v>
      </c>
      <c r="F196" s="75">
        <v>45782</v>
      </c>
      <c r="G196" s="75">
        <v>45835</v>
      </c>
      <c r="H196" s="24">
        <v>3375000</v>
      </c>
      <c r="I196" s="24">
        <f>H196*0.18*0.6</f>
        <v>364500</v>
      </c>
      <c r="J196" s="24">
        <f>-H196*1%</f>
        <v>-33750</v>
      </c>
      <c r="K196" s="16">
        <f t="shared" ref="K196" si="112">+H196+J196</f>
        <v>3341250</v>
      </c>
      <c r="L196" s="16">
        <f t="shared" ref="L196" si="113">H196+I196+J196</f>
        <v>3705750</v>
      </c>
      <c r="M196" s="24">
        <v>3705750</v>
      </c>
      <c r="N196" s="16">
        <f t="shared" ref="N196" si="114">+M196-I196-J196</f>
        <v>3375000</v>
      </c>
      <c r="O196" s="16">
        <f t="shared" ref="O196" si="115">+M196-I196</f>
        <v>3341250</v>
      </c>
      <c r="P196" s="16">
        <f t="shared" ref="P196" si="116">+L196-M196</f>
        <v>0</v>
      </c>
      <c r="Q196" s="16">
        <f>L196-M196</f>
        <v>0</v>
      </c>
      <c r="R196" s="268">
        <f>H196-N196</f>
        <v>0</v>
      </c>
      <c r="S196" s="16">
        <f>K196-O196</f>
        <v>0</v>
      </c>
      <c r="T196" s="34">
        <f>+F196+30</f>
        <v>45812</v>
      </c>
    </row>
    <row r="197" spans="2:20" s="12" customFormat="1" ht="18" customHeight="1" x14ac:dyDescent="0.3">
      <c r="B197" s="343"/>
      <c r="C197" s="344" t="s">
        <v>233</v>
      </c>
      <c r="D197" s="345"/>
      <c r="E197" s="345"/>
      <c r="F197" s="345"/>
      <c r="G197" s="346"/>
      <c r="H197" s="18">
        <f t="shared" ref="H197:S197" si="117">SUM(H196:H196)</f>
        <v>3375000</v>
      </c>
      <c r="I197" s="18">
        <f t="shared" si="117"/>
        <v>364500</v>
      </c>
      <c r="J197" s="18">
        <f t="shared" si="117"/>
        <v>-33750</v>
      </c>
      <c r="K197" s="18">
        <f t="shared" si="117"/>
        <v>3341250</v>
      </c>
      <c r="L197" s="18">
        <f t="shared" si="117"/>
        <v>3705750</v>
      </c>
      <c r="M197" s="18">
        <f t="shared" si="117"/>
        <v>3705750</v>
      </c>
      <c r="N197" s="18">
        <f t="shared" si="117"/>
        <v>3375000</v>
      </c>
      <c r="O197" s="18">
        <f t="shared" si="117"/>
        <v>3341250</v>
      </c>
      <c r="P197" s="18">
        <f t="shared" si="117"/>
        <v>0</v>
      </c>
      <c r="Q197" s="18">
        <f t="shared" si="117"/>
        <v>0</v>
      </c>
      <c r="R197" s="273">
        <f t="shared" si="117"/>
        <v>0</v>
      </c>
      <c r="S197" s="18">
        <f t="shared" si="117"/>
        <v>0</v>
      </c>
      <c r="T197" s="73"/>
    </row>
    <row r="198" spans="2:20" s="12" customFormat="1" ht="18" customHeight="1" x14ac:dyDescent="0.3">
      <c r="B198" s="341" t="s">
        <v>230</v>
      </c>
      <c r="C198" s="262" t="s">
        <v>456</v>
      </c>
      <c r="D198" s="263" t="s">
        <v>41</v>
      </c>
      <c r="E198" s="75">
        <v>45876</v>
      </c>
      <c r="F198" s="75">
        <v>45880</v>
      </c>
      <c r="G198" s="262"/>
      <c r="H198" s="24">
        <v>20023400</v>
      </c>
      <c r="I198" s="16">
        <f t="shared" ref="I198:I202" si="118">+H198*0.18*60%</f>
        <v>2162527.1999999997</v>
      </c>
      <c r="J198" s="16">
        <f t="shared" ref="J198:J202" si="119">-H198*1%</f>
        <v>-200234</v>
      </c>
      <c r="K198" s="16">
        <f t="shared" ref="K198:K202" si="120">+H198+J198</f>
        <v>19823166</v>
      </c>
      <c r="L198" s="16">
        <f t="shared" ref="L198:L202" si="121">H198+I198+J198</f>
        <v>21985693.199999999</v>
      </c>
      <c r="M198" s="16"/>
      <c r="N198" s="16"/>
      <c r="O198" s="16"/>
      <c r="P198" s="16">
        <f t="shared" ref="P198:P202" si="122">H198+I198</f>
        <v>22185927.199999999</v>
      </c>
      <c r="Q198" s="16">
        <f t="shared" ref="Q198:Q202" si="123">L198-M198</f>
        <v>21985693.199999999</v>
      </c>
      <c r="R198" s="268">
        <f t="shared" ref="R198:R202" si="124">H198-N198</f>
        <v>20023400</v>
      </c>
      <c r="S198" s="16">
        <f t="shared" ref="S198:S202" si="125">K198-O198</f>
        <v>19823166</v>
      </c>
      <c r="T198" s="34">
        <f t="shared" ref="T198:T202" si="126">+F198+30</f>
        <v>45910</v>
      </c>
    </row>
    <row r="199" spans="2:20" s="12" customFormat="1" ht="18" customHeight="1" x14ac:dyDescent="0.3">
      <c r="B199" s="342"/>
      <c r="C199" s="262"/>
      <c r="D199" s="263"/>
      <c r="E199" s="75"/>
      <c r="F199" s="75"/>
      <c r="G199" s="262"/>
      <c r="H199" s="24"/>
      <c r="I199" s="16">
        <f t="shared" si="118"/>
        <v>0</v>
      </c>
      <c r="J199" s="16">
        <f t="shared" si="119"/>
        <v>0</v>
      </c>
      <c r="K199" s="16">
        <f t="shared" si="120"/>
        <v>0</v>
      </c>
      <c r="L199" s="16">
        <f t="shared" si="121"/>
        <v>0</v>
      </c>
      <c r="M199" s="16"/>
      <c r="N199" s="16"/>
      <c r="O199" s="16"/>
      <c r="P199" s="16">
        <f t="shared" si="122"/>
        <v>0</v>
      </c>
      <c r="Q199" s="16">
        <f t="shared" si="123"/>
        <v>0</v>
      </c>
      <c r="R199" s="268">
        <f t="shared" si="124"/>
        <v>0</v>
      </c>
      <c r="S199" s="16">
        <f t="shared" si="125"/>
        <v>0</v>
      </c>
      <c r="T199" s="34">
        <f t="shared" si="126"/>
        <v>30</v>
      </c>
    </row>
    <row r="200" spans="2:20" s="12" customFormat="1" ht="18" customHeight="1" x14ac:dyDescent="0.3">
      <c r="B200" s="342"/>
      <c r="C200" s="262"/>
      <c r="D200" s="263"/>
      <c r="E200" s="75"/>
      <c r="F200" s="75"/>
      <c r="G200" s="262"/>
      <c r="H200" s="24"/>
      <c r="I200" s="16">
        <f t="shared" si="118"/>
        <v>0</v>
      </c>
      <c r="J200" s="16">
        <f t="shared" si="119"/>
        <v>0</v>
      </c>
      <c r="K200" s="16">
        <f t="shared" si="120"/>
        <v>0</v>
      </c>
      <c r="L200" s="16">
        <f t="shared" si="121"/>
        <v>0</v>
      </c>
      <c r="M200" s="16"/>
      <c r="N200" s="16"/>
      <c r="O200" s="16"/>
      <c r="P200" s="16">
        <f t="shared" si="122"/>
        <v>0</v>
      </c>
      <c r="Q200" s="16">
        <f t="shared" si="123"/>
        <v>0</v>
      </c>
      <c r="R200" s="268">
        <f t="shared" si="124"/>
        <v>0</v>
      </c>
      <c r="S200" s="16">
        <f t="shared" si="125"/>
        <v>0</v>
      </c>
      <c r="T200" s="34">
        <f t="shared" si="126"/>
        <v>30</v>
      </c>
    </row>
    <row r="201" spans="2:20" s="12" customFormat="1" ht="18" customHeight="1" x14ac:dyDescent="0.3">
      <c r="B201" s="342"/>
      <c r="C201" s="262"/>
      <c r="D201" s="263"/>
      <c r="E201" s="75"/>
      <c r="F201" s="75"/>
      <c r="G201" s="262"/>
      <c r="H201" s="24"/>
      <c r="I201" s="16">
        <f t="shared" si="118"/>
        <v>0</v>
      </c>
      <c r="J201" s="16">
        <f t="shared" si="119"/>
        <v>0</v>
      </c>
      <c r="K201" s="16">
        <f t="shared" si="120"/>
        <v>0</v>
      </c>
      <c r="L201" s="16">
        <f t="shared" si="121"/>
        <v>0</v>
      </c>
      <c r="M201" s="16"/>
      <c r="N201" s="16"/>
      <c r="O201" s="16"/>
      <c r="P201" s="16">
        <f t="shared" si="122"/>
        <v>0</v>
      </c>
      <c r="Q201" s="16">
        <f t="shared" si="123"/>
        <v>0</v>
      </c>
      <c r="R201" s="268">
        <f t="shared" si="124"/>
        <v>0</v>
      </c>
      <c r="S201" s="16">
        <f t="shared" si="125"/>
        <v>0</v>
      </c>
      <c r="T201" s="34">
        <f t="shared" si="126"/>
        <v>30</v>
      </c>
    </row>
    <row r="202" spans="2:20" s="12" customFormat="1" ht="18" customHeight="1" x14ac:dyDescent="0.3">
      <c r="B202" s="342"/>
      <c r="C202" s="262"/>
      <c r="D202" s="263"/>
      <c r="E202" s="75"/>
      <c r="F202" s="75"/>
      <c r="G202" s="262"/>
      <c r="H202" s="24"/>
      <c r="I202" s="16">
        <f t="shared" si="118"/>
        <v>0</v>
      </c>
      <c r="J202" s="16">
        <f t="shared" si="119"/>
        <v>0</v>
      </c>
      <c r="K202" s="16">
        <f t="shared" si="120"/>
        <v>0</v>
      </c>
      <c r="L202" s="16">
        <f t="shared" si="121"/>
        <v>0</v>
      </c>
      <c r="M202" s="16"/>
      <c r="N202" s="16"/>
      <c r="O202" s="16"/>
      <c r="P202" s="16">
        <f t="shared" si="122"/>
        <v>0</v>
      </c>
      <c r="Q202" s="16">
        <f t="shared" si="123"/>
        <v>0</v>
      </c>
      <c r="R202" s="268">
        <f t="shared" si="124"/>
        <v>0</v>
      </c>
      <c r="S202" s="16">
        <f t="shared" si="125"/>
        <v>0</v>
      </c>
      <c r="T202" s="34">
        <f t="shared" si="126"/>
        <v>30</v>
      </c>
    </row>
    <row r="203" spans="2:20" s="12" customFormat="1" ht="18" customHeight="1" x14ac:dyDescent="0.3">
      <c r="B203" s="343"/>
      <c r="C203" s="344" t="s">
        <v>234</v>
      </c>
      <c r="D203" s="345"/>
      <c r="E203" s="345"/>
      <c r="F203" s="345"/>
      <c r="G203" s="346"/>
      <c r="H203" s="18">
        <f>SUM(H198:H202)</f>
        <v>20023400</v>
      </c>
      <c r="I203" s="18">
        <f t="shared" ref="I203:S203" si="127">SUM(I198:I202)</f>
        <v>2162527.1999999997</v>
      </c>
      <c r="J203" s="18">
        <f t="shared" si="127"/>
        <v>-200234</v>
      </c>
      <c r="K203" s="18">
        <f t="shared" si="127"/>
        <v>19823166</v>
      </c>
      <c r="L203" s="18">
        <f t="shared" si="127"/>
        <v>21985693.199999999</v>
      </c>
      <c r="M203" s="18">
        <f t="shared" si="127"/>
        <v>0</v>
      </c>
      <c r="N203" s="18">
        <f t="shared" si="127"/>
        <v>0</v>
      </c>
      <c r="O203" s="18">
        <f t="shared" si="127"/>
        <v>0</v>
      </c>
      <c r="P203" s="18">
        <f t="shared" si="127"/>
        <v>22185927.199999999</v>
      </c>
      <c r="Q203" s="18">
        <f t="shared" si="127"/>
        <v>21985693.199999999</v>
      </c>
      <c r="R203" s="18">
        <f t="shared" si="127"/>
        <v>20023400</v>
      </c>
      <c r="S203" s="18">
        <f t="shared" si="127"/>
        <v>19823166</v>
      </c>
      <c r="T203" s="73"/>
    </row>
    <row r="204" spans="2:20" s="12" customFormat="1" ht="18" customHeight="1" x14ac:dyDescent="0.3">
      <c r="B204" s="341" t="s">
        <v>424</v>
      </c>
      <c r="C204" s="262" t="s">
        <v>455</v>
      </c>
      <c r="D204" s="263" t="s">
        <v>41</v>
      </c>
      <c r="E204" s="75">
        <v>45877</v>
      </c>
      <c r="F204" s="75">
        <v>45880</v>
      </c>
      <c r="G204" s="262"/>
      <c r="H204" s="24">
        <v>14976800</v>
      </c>
      <c r="I204" s="16">
        <f>+H204*0.18*60%</f>
        <v>1617494.4</v>
      </c>
      <c r="J204" s="16">
        <f t="shared" ref="J204" si="128">-H204*1%</f>
        <v>-149768</v>
      </c>
      <c r="K204" s="16">
        <f t="shared" ref="K204" si="129">+H204+J204</f>
        <v>14827032</v>
      </c>
      <c r="L204" s="16">
        <f t="shared" ref="L204" si="130">H204+I204+J204</f>
        <v>16444526.4</v>
      </c>
      <c r="M204" s="16"/>
      <c r="N204" s="16"/>
      <c r="O204" s="16"/>
      <c r="P204" s="16">
        <f>H204+I204</f>
        <v>16594294.4</v>
      </c>
      <c r="Q204" s="16">
        <f>L204-M204</f>
        <v>16444526.4</v>
      </c>
      <c r="R204" s="268">
        <f t="shared" ref="R204" si="131">H204-N204</f>
        <v>14976800</v>
      </c>
      <c r="S204" s="16">
        <f t="shared" ref="S204" si="132">K204-O204</f>
        <v>14827032</v>
      </c>
      <c r="T204" s="34">
        <f t="shared" ref="T204" si="133">+F204+30</f>
        <v>45910</v>
      </c>
    </row>
    <row r="205" spans="2:20" s="12" customFormat="1" ht="18" customHeight="1" x14ac:dyDescent="0.3">
      <c r="B205" s="342"/>
      <c r="C205" s="262" t="s">
        <v>452</v>
      </c>
      <c r="D205" s="263" t="s">
        <v>453</v>
      </c>
      <c r="E205" s="75">
        <v>45875</v>
      </c>
      <c r="F205" s="75">
        <v>45880</v>
      </c>
      <c r="G205" s="262"/>
      <c r="H205" s="24">
        <v>21279375</v>
      </c>
      <c r="I205" s="16">
        <f>+H205*0.18*60%</f>
        <v>2298172.5</v>
      </c>
      <c r="J205" s="16">
        <f t="shared" ref="J205" si="134">-H205*1%</f>
        <v>-212793.75</v>
      </c>
      <c r="K205" s="16">
        <f t="shared" ref="K205" si="135">+H205+J205</f>
        <v>21066581.25</v>
      </c>
      <c r="L205" s="16">
        <f t="shared" ref="L205" si="136">H205+I205+J205</f>
        <v>23364753.75</v>
      </c>
      <c r="M205" s="16"/>
      <c r="N205" s="16"/>
      <c r="O205" s="16"/>
      <c r="P205" s="16">
        <f>H205+I205</f>
        <v>23577547.5</v>
      </c>
      <c r="Q205" s="16">
        <f>L205-M205</f>
        <v>23364753.75</v>
      </c>
      <c r="R205" s="268">
        <f t="shared" ref="R205" si="137">H205-N205</f>
        <v>21279375</v>
      </c>
      <c r="S205" s="16">
        <f t="shared" ref="S205" si="138">K205-O205</f>
        <v>21066581.25</v>
      </c>
      <c r="T205" s="34">
        <f t="shared" ref="T205" si="139">+F205+30</f>
        <v>45910</v>
      </c>
    </row>
    <row r="206" spans="2:20" s="12" customFormat="1" ht="18" customHeight="1" x14ac:dyDescent="0.3">
      <c r="B206" s="342"/>
      <c r="C206" s="262" t="s">
        <v>459</v>
      </c>
      <c r="D206" s="263">
        <v>45839</v>
      </c>
      <c r="E206" s="75">
        <v>45889</v>
      </c>
      <c r="F206" s="75">
        <v>45894</v>
      </c>
      <c r="G206" s="262"/>
      <c r="H206" s="24">
        <v>8511750</v>
      </c>
      <c r="I206" s="16">
        <f t="shared" ref="I206:I209" si="140">+H206*0.18*60%</f>
        <v>919269</v>
      </c>
      <c r="J206" s="16">
        <f t="shared" ref="J206:J209" si="141">-H206*1%</f>
        <v>-85117.5</v>
      </c>
      <c r="K206" s="16">
        <f t="shared" ref="K206:K209" si="142">+H206+J206</f>
        <v>8426632.5</v>
      </c>
      <c r="L206" s="16">
        <f t="shared" ref="L206:L209" si="143">H206+I206+J206</f>
        <v>9345901.5</v>
      </c>
      <c r="M206" s="16"/>
      <c r="N206" s="16"/>
      <c r="O206" s="16"/>
      <c r="P206" s="16">
        <f t="shared" ref="P206:P209" si="144">H206+I206</f>
        <v>9431019</v>
      </c>
      <c r="Q206" s="16">
        <f t="shared" ref="Q206:Q209" si="145">L206-M206</f>
        <v>9345901.5</v>
      </c>
      <c r="R206" s="268">
        <f t="shared" ref="R206:R209" si="146">H206-N206</f>
        <v>8511750</v>
      </c>
      <c r="S206" s="16">
        <f t="shared" ref="S206:S209" si="147">K206-O206</f>
        <v>8426632.5</v>
      </c>
      <c r="T206" s="34">
        <f t="shared" ref="T206:T209" si="148">+F206+30</f>
        <v>45924</v>
      </c>
    </row>
    <row r="207" spans="2:20" s="12" customFormat="1" ht="18" customHeight="1" x14ac:dyDescent="0.3">
      <c r="B207" s="342"/>
      <c r="C207" s="262"/>
      <c r="D207" s="263"/>
      <c r="E207" s="75"/>
      <c r="F207" s="75"/>
      <c r="G207" s="262"/>
      <c r="H207" s="24"/>
      <c r="I207" s="16">
        <f t="shared" si="140"/>
        <v>0</v>
      </c>
      <c r="J207" s="16">
        <f t="shared" si="141"/>
        <v>0</v>
      </c>
      <c r="K207" s="16">
        <f t="shared" si="142"/>
        <v>0</v>
      </c>
      <c r="L207" s="16">
        <f t="shared" si="143"/>
        <v>0</v>
      </c>
      <c r="M207" s="16"/>
      <c r="N207" s="16"/>
      <c r="O207" s="16"/>
      <c r="P207" s="16">
        <f t="shared" si="144"/>
        <v>0</v>
      </c>
      <c r="Q207" s="16">
        <f t="shared" si="145"/>
        <v>0</v>
      </c>
      <c r="R207" s="268">
        <f t="shared" si="146"/>
        <v>0</v>
      </c>
      <c r="S207" s="16">
        <f t="shared" si="147"/>
        <v>0</v>
      </c>
      <c r="T207" s="34">
        <f t="shared" si="148"/>
        <v>30</v>
      </c>
    </row>
    <row r="208" spans="2:20" s="12" customFormat="1" ht="18" customHeight="1" x14ac:dyDescent="0.3">
      <c r="B208" s="342"/>
      <c r="C208" s="262"/>
      <c r="D208" s="263"/>
      <c r="E208" s="75"/>
      <c r="F208" s="75"/>
      <c r="G208" s="262"/>
      <c r="H208" s="24"/>
      <c r="I208" s="16">
        <f t="shared" si="140"/>
        <v>0</v>
      </c>
      <c r="J208" s="16">
        <f t="shared" si="141"/>
        <v>0</v>
      </c>
      <c r="K208" s="16">
        <f t="shared" si="142"/>
        <v>0</v>
      </c>
      <c r="L208" s="16">
        <f t="shared" si="143"/>
        <v>0</v>
      </c>
      <c r="M208" s="16"/>
      <c r="N208" s="16"/>
      <c r="O208" s="16"/>
      <c r="P208" s="16">
        <f t="shared" si="144"/>
        <v>0</v>
      </c>
      <c r="Q208" s="16">
        <f t="shared" si="145"/>
        <v>0</v>
      </c>
      <c r="R208" s="268">
        <f t="shared" si="146"/>
        <v>0</v>
      </c>
      <c r="S208" s="16">
        <f t="shared" si="147"/>
        <v>0</v>
      </c>
      <c r="T208" s="34">
        <f t="shared" si="148"/>
        <v>30</v>
      </c>
    </row>
    <row r="209" spans="2:20" s="12" customFormat="1" ht="18" customHeight="1" x14ac:dyDescent="0.3">
      <c r="B209" s="342"/>
      <c r="C209" s="262"/>
      <c r="D209" s="263"/>
      <c r="E209" s="75"/>
      <c r="F209" s="75"/>
      <c r="G209" s="262"/>
      <c r="H209" s="24"/>
      <c r="I209" s="16">
        <f t="shared" si="140"/>
        <v>0</v>
      </c>
      <c r="J209" s="16">
        <f t="shared" si="141"/>
        <v>0</v>
      </c>
      <c r="K209" s="16">
        <f t="shared" si="142"/>
        <v>0</v>
      </c>
      <c r="L209" s="16">
        <f t="shared" si="143"/>
        <v>0</v>
      </c>
      <c r="M209" s="16"/>
      <c r="N209" s="16"/>
      <c r="O209" s="16"/>
      <c r="P209" s="16">
        <f t="shared" si="144"/>
        <v>0</v>
      </c>
      <c r="Q209" s="16">
        <f t="shared" si="145"/>
        <v>0</v>
      </c>
      <c r="R209" s="268">
        <f t="shared" si="146"/>
        <v>0</v>
      </c>
      <c r="S209" s="16">
        <f t="shared" si="147"/>
        <v>0</v>
      </c>
      <c r="T209" s="34">
        <f t="shared" si="148"/>
        <v>30</v>
      </c>
    </row>
    <row r="210" spans="2:20" s="12" customFormat="1" ht="18" customHeight="1" x14ac:dyDescent="0.3">
      <c r="B210" s="343"/>
      <c r="C210" s="344" t="s">
        <v>235</v>
      </c>
      <c r="D210" s="345"/>
      <c r="E210" s="345"/>
      <c r="F210" s="345"/>
      <c r="G210" s="346"/>
      <c r="H210" s="18">
        <f>SUM(H205:H209)</f>
        <v>29791125</v>
      </c>
      <c r="I210" s="18">
        <f t="shared" ref="I210:S210" si="149">SUM(I205:I209)</f>
        <v>3217441.5</v>
      </c>
      <c r="J210" s="18">
        <f t="shared" si="149"/>
        <v>-297911.25</v>
      </c>
      <c r="K210" s="18">
        <f t="shared" si="149"/>
        <v>29493213.75</v>
      </c>
      <c r="L210" s="18">
        <f t="shared" si="149"/>
        <v>32710655.25</v>
      </c>
      <c r="M210" s="18">
        <f t="shared" si="149"/>
        <v>0</v>
      </c>
      <c r="N210" s="18">
        <f t="shared" si="149"/>
        <v>0</v>
      </c>
      <c r="O210" s="18">
        <f t="shared" si="149"/>
        <v>0</v>
      </c>
      <c r="P210" s="18">
        <f t="shared" si="149"/>
        <v>33008566.5</v>
      </c>
      <c r="Q210" s="18">
        <f t="shared" si="149"/>
        <v>32710655.25</v>
      </c>
      <c r="R210" s="18">
        <f t="shared" si="149"/>
        <v>29791125</v>
      </c>
      <c r="S210" s="18">
        <f t="shared" si="149"/>
        <v>29493213.75</v>
      </c>
      <c r="T210" s="73"/>
    </row>
    <row r="211" spans="2:20" s="12" customFormat="1" ht="18" customHeight="1" x14ac:dyDescent="0.3">
      <c r="B211" s="347" t="s">
        <v>231</v>
      </c>
      <c r="C211" s="72"/>
      <c r="D211" s="72"/>
      <c r="E211" s="72"/>
      <c r="F211" s="72"/>
      <c r="G211" s="72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273"/>
      <c r="S211" s="18"/>
      <c r="T211" s="73"/>
    </row>
    <row r="212" spans="2:20" s="12" customFormat="1" ht="18" customHeight="1" x14ac:dyDescent="0.3">
      <c r="B212" s="348"/>
      <c r="C212" s="72"/>
      <c r="D212" s="72"/>
      <c r="E212" s="72"/>
      <c r="F212" s="72"/>
      <c r="G212" s="72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273"/>
      <c r="S212" s="18"/>
      <c r="T212" s="73"/>
    </row>
    <row r="213" spans="2:20" s="12" customFormat="1" ht="18" customHeight="1" x14ac:dyDescent="0.3">
      <c r="B213" s="348"/>
      <c r="C213" s="72"/>
      <c r="D213" s="72"/>
      <c r="E213" s="72"/>
      <c r="F213" s="72"/>
      <c r="G213" s="72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273"/>
      <c r="S213" s="18"/>
      <c r="T213" s="73"/>
    </row>
    <row r="214" spans="2:20" s="12" customFormat="1" ht="18" customHeight="1" x14ac:dyDescent="0.3">
      <c r="B214" s="348"/>
      <c r="C214" s="72"/>
      <c r="D214" s="72"/>
      <c r="E214" s="72"/>
      <c r="F214" s="72"/>
      <c r="G214" s="72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273"/>
      <c r="S214" s="18"/>
      <c r="T214" s="73"/>
    </row>
    <row r="215" spans="2:20" ht="18" customHeight="1" x14ac:dyDescent="0.3">
      <c r="B215" s="348"/>
      <c r="C215" s="17"/>
      <c r="D215" s="17"/>
      <c r="E215" s="17"/>
      <c r="F215" s="17"/>
      <c r="G215" s="17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273"/>
      <c r="S215" s="9"/>
      <c r="T215" s="26"/>
    </row>
    <row r="216" spans="2:20" ht="18" customHeight="1" x14ac:dyDescent="0.3">
      <c r="B216" s="349"/>
      <c r="C216" s="350" t="s">
        <v>236</v>
      </c>
      <c r="D216" s="351"/>
      <c r="E216" s="351"/>
      <c r="F216" s="351"/>
      <c r="G216" s="352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273"/>
      <c r="S216" s="9"/>
      <c r="T216" s="26"/>
    </row>
    <row r="217" spans="2:20" ht="18" customHeight="1" x14ac:dyDescent="0.3">
      <c r="B217" s="347" t="s">
        <v>232</v>
      </c>
      <c r="C217" s="17"/>
      <c r="D217" s="17"/>
      <c r="E217" s="17"/>
      <c r="F217" s="17"/>
      <c r="G217" s="17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273"/>
      <c r="S217" s="9"/>
      <c r="T217" s="26"/>
    </row>
    <row r="218" spans="2:20" ht="18" customHeight="1" x14ac:dyDescent="0.3">
      <c r="B218" s="348"/>
      <c r="C218" s="17"/>
      <c r="D218" s="17"/>
      <c r="E218" s="17"/>
      <c r="F218" s="17"/>
      <c r="G218" s="17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273"/>
      <c r="S218" s="9"/>
      <c r="T218" s="26"/>
    </row>
    <row r="219" spans="2:20" ht="18" customHeight="1" x14ac:dyDescent="0.3">
      <c r="B219" s="348"/>
      <c r="C219" s="17"/>
      <c r="D219" s="17"/>
      <c r="E219" s="17"/>
      <c r="F219" s="17"/>
      <c r="G219" s="17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273"/>
      <c r="S219" s="9"/>
      <c r="T219" s="26"/>
    </row>
    <row r="220" spans="2:20" ht="18" customHeight="1" x14ac:dyDescent="0.3">
      <c r="B220" s="348"/>
      <c r="C220" s="17"/>
      <c r="D220" s="17"/>
      <c r="E220" s="17"/>
      <c r="F220" s="17"/>
      <c r="G220" s="17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273"/>
      <c r="S220" s="9"/>
      <c r="T220" s="26"/>
    </row>
    <row r="221" spans="2:20" ht="18" customHeight="1" x14ac:dyDescent="0.3">
      <c r="B221" s="348"/>
      <c r="C221" s="17"/>
      <c r="D221" s="17"/>
      <c r="E221" s="17"/>
      <c r="F221" s="17"/>
      <c r="G221" s="17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273"/>
      <c r="S221" s="9"/>
      <c r="T221" s="26"/>
    </row>
    <row r="222" spans="2:20" ht="18" customHeight="1" x14ac:dyDescent="0.3">
      <c r="B222" s="348"/>
      <c r="C222" s="17"/>
      <c r="D222" s="17"/>
      <c r="E222" s="17"/>
      <c r="F222" s="17"/>
      <c r="G222" s="17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273"/>
      <c r="S222" s="9"/>
      <c r="T222" s="26"/>
    </row>
    <row r="223" spans="2:20" ht="18" customHeight="1" x14ac:dyDescent="0.3">
      <c r="B223" s="348"/>
      <c r="C223" s="17"/>
      <c r="D223" s="17"/>
      <c r="E223" s="17"/>
      <c r="F223" s="17"/>
      <c r="G223" s="17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273"/>
      <c r="S223" s="9"/>
      <c r="T223" s="26"/>
    </row>
    <row r="224" spans="2:20" ht="18" customHeight="1" x14ac:dyDescent="0.3">
      <c r="B224" s="349"/>
      <c r="C224" s="350" t="s">
        <v>237</v>
      </c>
      <c r="D224" s="351"/>
      <c r="E224" s="351"/>
      <c r="F224" s="351"/>
      <c r="G224" s="352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273"/>
      <c r="S224" s="9"/>
      <c r="T224" s="26"/>
    </row>
    <row r="225" spans="2:20" ht="18" customHeight="1" x14ac:dyDescent="0.3">
      <c r="B225" s="347" t="s">
        <v>438</v>
      </c>
      <c r="C225" s="262"/>
      <c r="D225" s="263"/>
      <c r="E225" s="75"/>
      <c r="F225" s="75"/>
      <c r="G225" s="75"/>
      <c r="H225" s="24"/>
      <c r="I225" s="24"/>
      <c r="J225" s="24"/>
      <c r="K225" s="16"/>
      <c r="L225" s="16"/>
      <c r="M225" s="24"/>
      <c r="N225" s="16"/>
      <c r="O225" s="16"/>
      <c r="P225" s="16"/>
      <c r="Q225" s="16"/>
      <c r="R225" s="268"/>
      <c r="S225" s="16"/>
      <c r="T225" s="34"/>
    </row>
    <row r="226" spans="2:20" ht="18" customHeight="1" x14ac:dyDescent="0.3">
      <c r="B226" s="348"/>
      <c r="C226" s="262"/>
      <c r="D226" s="263"/>
      <c r="E226" s="75"/>
      <c r="F226" s="75"/>
      <c r="G226" s="262"/>
      <c r="H226" s="24"/>
      <c r="I226" s="24"/>
      <c r="J226" s="24"/>
      <c r="K226" s="16"/>
      <c r="L226" s="16"/>
      <c r="M226" s="16"/>
      <c r="N226" s="16"/>
      <c r="O226" s="16"/>
      <c r="P226" s="16"/>
      <c r="Q226" s="16"/>
      <c r="R226" s="268"/>
      <c r="S226" s="16"/>
      <c r="T226" s="34"/>
    </row>
    <row r="227" spans="2:20" ht="18" customHeight="1" x14ac:dyDescent="0.3">
      <c r="B227" s="348"/>
      <c r="C227" s="262"/>
      <c r="D227" s="263"/>
      <c r="E227" s="75"/>
      <c r="F227" s="75"/>
      <c r="G227" s="262"/>
      <c r="H227" s="24"/>
      <c r="I227" s="24"/>
      <c r="J227" s="24"/>
      <c r="K227" s="16"/>
      <c r="L227" s="16"/>
      <c r="M227" s="16"/>
      <c r="N227" s="16"/>
      <c r="O227" s="16"/>
      <c r="P227" s="16"/>
      <c r="Q227" s="16"/>
      <c r="R227" s="268"/>
      <c r="S227" s="16"/>
      <c r="T227" s="34"/>
    </row>
    <row r="228" spans="2:20" ht="18" customHeight="1" x14ac:dyDescent="0.3">
      <c r="B228" s="348"/>
      <c r="C228" s="262"/>
      <c r="D228" s="263"/>
      <c r="E228" s="75"/>
      <c r="F228" s="75"/>
      <c r="G228" s="262"/>
      <c r="H228" s="24"/>
      <c r="I228" s="16"/>
      <c r="J228" s="16"/>
      <c r="K228" s="16"/>
      <c r="L228" s="16"/>
      <c r="M228" s="16"/>
      <c r="N228" s="16"/>
      <c r="O228" s="16"/>
      <c r="P228" s="16"/>
      <c r="Q228" s="16"/>
      <c r="R228" s="268"/>
      <c r="S228" s="16"/>
      <c r="T228" s="34"/>
    </row>
    <row r="229" spans="2:20" ht="18" customHeight="1" x14ac:dyDescent="0.3">
      <c r="B229" s="348"/>
      <c r="C229" s="262"/>
      <c r="D229" s="263"/>
      <c r="E229" s="75"/>
      <c r="F229" s="75"/>
      <c r="G229" s="262"/>
      <c r="H229" s="24"/>
      <c r="I229" s="16"/>
      <c r="J229" s="16"/>
      <c r="K229" s="16"/>
      <c r="L229" s="16"/>
      <c r="M229" s="16"/>
      <c r="N229" s="16"/>
      <c r="O229" s="16"/>
      <c r="P229" s="16">
        <f t="shared" ref="P227:P231" si="150">H229+I229</f>
        <v>0</v>
      </c>
      <c r="Q229" s="16">
        <f t="shared" ref="Q227:Q231" si="151">L229-M229</f>
        <v>0</v>
      </c>
      <c r="R229" s="268">
        <f t="shared" ref="R227:R231" si="152">H229-N229</f>
        <v>0</v>
      </c>
      <c r="S229" s="16">
        <f t="shared" ref="S227:S231" si="153">K229-O229</f>
        <v>0</v>
      </c>
      <c r="T229" s="34"/>
    </row>
    <row r="230" spans="2:20" ht="18" customHeight="1" x14ac:dyDescent="0.3">
      <c r="B230" s="348"/>
      <c r="C230" s="262"/>
      <c r="D230" s="263"/>
      <c r="E230" s="75"/>
      <c r="F230" s="75"/>
      <c r="G230" s="262"/>
      <c r="H230" s="24"/>
      <c r="I230" s="16"/>
      <c r="J230" s="16"/>
      <c r="K230" s="16"/>
      <c r="L230" s="16"/>
      <c r="M230" s="16"/>
      <c r="N230" s="16"/>
      <c r="O230" s="16"/>
      <c r="P230" s="16">
        <f t="shared" si="150"/>
        <v>0</v>
      </c>
      <c r="Q230" s="16">
        <f t="shared" si="151"/>
        <v>0</v>
      </c>
      <c r="R230" s="268">
        <f t="shared" si="152"/>
        <v>0</v>
      </c>
      <c r="S230" s="16">
        <f t="shared" si="153"/>
        <v>0</v>
      </c>
      <c r="T230" s="34"/>
    </row>
    <row r="231" spans="2:20" ht="18" customHeight="1" x14ac:dyDescent="0.3">
      <c r="B231" s="348"/>
      <c r="C231" s="262"/>
      <c r="D231" s="263"/>
      <c r="E231" s="75"/>
      <c r="F231" s="75"/>
      <c r="G231" s="262"/>
      <c r="H231" s="24"/>
      <c r="I231" s="16"/>
      <c r="J231" s="16"/>
      <c r="K231" s="16"/>
      <c r="L231" s="16"/>
      <c r="M231" s="16"/>
      <c r="N231" s="16"/>
      <c r="O231" s="16"/>
      <c r="P231" s="16">
        <f t="shared" si="150"/>
        <v>0</v>
      </c>
      <c r="Q231" s="16">
        <f t="shared" si="151"/>
        <v>0</v>
      </c>
      <c r="R231" s="268">
        <f t="shared" si="152"/>
        <v>0</v>
      </c>
      <c r="S231" s="16">
        <f t="shared" si="153"/>
        <v>0</v>
      </c>
      <c r="T231" s="34"/>
    </row>
    <row r="232" spans="2:20" ht="18" customHeight="1" x14ac:dyDescent="0.3">
      <c r="B232" s="349"/>
      <c r="C232" s="350" t="s">
        <v>439</v>
      </c>
      <c r="D232" s="351"/>
      <c r="E232" s="351"/>
      <c r="F232" s="351"/>
      <c r="G232" s="352"/>
      <c r="H232" s="18">
        <f>SUM(H225:H231)</f>
        <v>0</v>
      </c>
      <c r="I232" s="18">
        <f t="shared" ref="I232:S232" si="154">SUM(I225:I231)</f>
        <v>0</v>
      </c>
      <c r="J232" s="18">
        <f t="shared" si="154"/>
        <v>0</v>
      </c>
      <c r="K232" s="18">
        <f t="shared" si="154"/>
        <v>0</v>
      </c>
      <c r="L232" s="18">
        <f t="shared" si="154"/>
        <v>0</v>
      </c>
      <c r="M232" s="18">
        <f t="shared" si="154"/>
        <v>0</v>
      </c>
      <c r="N232" s="18">
        <f t="shared" si="154"/>
        <v>0</v>
      </c>
      <c r="O232" s="18">
        <f t="shared" si="154"/>
        <v>0</v>
      </c>
      <c r="P232" s="18">
        <f t="shared" si="154"/>
        <v>0</v>
      </c>
      <c r="Q232" s="18">
        <f t="shared" si="154"/>
        <v>0</v>
      </c>
      <c r="R232" s="18">
        <f t="shared" si="154"/>
        <v>0</v>
      </c>
      <c r="S232" s="18">
        <f t="shared" si="154"/>
        <v>0</v>
      </c>
      <c r="T232" s="26"/>
    </row>
    <row r="233" spans="2:20" ht="16.5" customHeight="1" x14ac:dyDescent="0.3">
      <c r="B233" s="340" t="s">
        <v>0</v>
      </c>
      <c r="C233" s="340"/>
      <c r="D233" s="340"/>
      <c r="E233" s="340"/>
      <c r="F233" s="340"/>
      <c r="G233" s="340"/>
      <c r="H233" s="36" cm="1">
        <f t="array" ref="H233">SUM(H7:H232/2)</f>
        <v>689647262</v>
      </c>
      <c r="I233" s="36" cm="1">
        <f t="array" ref="I233">SUM(I7:I232/2)</f>
        <v>99739103.759999961</v>
      </c>
      <c r="J233" s="36" cm="1">
        <f t="array" ref="J233">SUM(J7:J232/2)</f>
        <v>-6784289.1299999999</v>
      </c>
      <c r="K233" s="36" cm="1">
        <f t="array" ref="K233">SUM(K7:K232/2)</f>
        <v>682862972.86999989</v>
      </c>
      <c r="L233" s="36" cm="1">
        <f t="array" ref="L233">SUM(L7:L232/2)</f>
        <v>782602076.63000023</v>
      </c>
      <c r="M233" s="36" cm="1">
        <f t="array" ref="M233">SUM(M7:M232/2)</f>
        <v>725290207</v>
      </c>
      <c r="N233" s="36" cm="1">
        <f t="array" ref="N233">SUM(N7:N232/2)</f>
        <v>637951079.01999986</v>
      </c>
      <c r="O233" s="36" cm="1">
        <f t="array" ref="O233">SUM(O7:O232/2)</f>
        <v>631739819.13999987</v>
      </c>
      <c r="P233" s="36" cm="1">
        <f t="array" ref="P233">SUM(P7:P232/2)</f>
        <v>57884898.880000025</v>
      </c>
      <c r="Q233" s="36" cm="1">
        <f t="array" ref="Q233">SUM(Q7:Q232/2)</f>
        <v>57311869.630000025</v>
      </c>
      <c r="R233" s="36" cm="1">
        <f t="array" ref="R233">SUM(R7:R232/2)</f>
        <v>51696182.980000004</v>
      </c>
      <c r="S233" s="36" cm="1">
        <f t="array" ref="S233">SUM(S7:S232/2)</f>
        <v>51123153.730000034</v>
      </c>
      <c r="T233" s="26"/>
    </row>
    <row r="235" spans="2:20" x14ac:dyDescent="0.3">
      <c r="M235" s="8"/>
      <c r="N235" s="8"/>
      <c r="O235" s="8"/>
      <c r="S235" s="8"/>
    </row>
    <row r="236" spans="2:20" ht="21" x14ac:dyDescent="0.35">
      <c r="M236" s="7"/>
      <c r="N236" s="276">
        <f>+N233/H233</f>
        <v>0.92503967487657457</v>
      </c>
      <c r="O236" s="27"/>
    </row>
    <row r="237" spans="2:20" x14ac:dyDescent="0.3">
      <c r="K237" s="28"/>
      <c r="O237" s="28"/>
      <c r="P237" s="8"/>
    </row>
    <row r="238" spans="2:20" x14ac:dyDescent="0.3">
      <c r="S238" s="8"/>
    </row>
    <row r="240" spans="2:20" x14ac:dyDescent="0.3">
      <c r="P240" s="8"/>
    </row>
    <row r="242" spans="9:16" x14ac:dyDescent="0.3">
      <c r="P242" s="8"/>
    </row>
    <row r="253" spans="9:16" x14ac:dyDescent="0.3">
      <c r="I253" s="71"/>
    </row>
    <row r="254" spans="9:16" x14ac:dyDescent="0.3">
      <c r="I254" s="8"/>
    </row>
    <row r="255" spans="9:16" x14ac:dyDescent="0.3">
      <c r="K255" s="8"/>
    </row>
    <row r="257" spans="11:12" x14ac:dyDescent="0.3">
      <c r="K257" s="8"/>
    </row>
    <row r="259" spans="11:12" x14ac:dyDescent="0.3">
      <c r="L259" s="71"/>
    </row>
  </sheetData>
  <mergeCells count="61">
    <mergeCell ref="C224:G224"/>
    <mergeCell ref="B217:B224"/>
    <mergeCell ref="C203:G203"/>
    <mergeCell ref="B198:B203"/>
    <mergeCell ref="C210:G210"/>
    <mergeCell ref="C216:G216"/>
    <mergeCell ref="B211:B216"/>
    <mergeCell ref="B204:B210"/>
    <mergeCell ref="B166:B170"/>
    <mergeCell ref="C170:G170"/>
    <mergeCell ref="B152:B157"/>
    <mergeCell ref="C197:G197"/>
    <mergeCell ref="B196:B197"/>
    <mergeCell ref="B180:B187"/>
    <mergeCell ref="C187:G187"/>
    <mergeCell ref="B194:B195"/>
    <mergeCell ref="C195:G195"/>
    <mergeCell ref="C179:G179"/>
    <mergeCell ref="B171:B179"/>
    <mergeCell ref="B188:B193"/>
    <mergeCell ref="C193:G193"/>
    <mergeCell ref="C157:G157"/>
    <mergeCell ref="B158:B165"/>
    <mergeCell ref="C165:G165"/>
    <mergeCell ref="B131:B139"/>
    <mergeCell ref="C139:G139"/>
    <mergeCell ref="B126:B130"/>
    <mergeCell ref="C130:G130"/>
    <mergeCell ref="B140:B151"/>
    <mergeCell ref="C151:G151"/>
    <mergeCell ref="C125:G125"/>
    <mergeCell ref="M4:T4"/>
    <mergeCell ref="E2:P2"/>
    <mergeCell ref="E3:P3"/>
    <mergeCell ref="Q2:T3"/>
    <mergeCell ref="C4:D4"/>
    <mergeCell ref="A2:D3"/>
    <mergeCell ref="C11:G11"/>
    <mergeCell ref="C14:G14"/>
    <mergeCell ref="B90:B103"/>
    <mergeCell ref="C103:G103"/>
    <mergeCell ref="C18:G18"/>
    <mergeCell ref="B7:B11"/>
    <mergeCell ref="B12:B14"/>
    <mergeCell ref="B15:B18"/>
    <mergeCell ref="B225:B232"/>
    <mergeCell ref="C232:G232"/>
    <mergeCell ref="B233:G233"/>
    <mergeCell ref="C20:G20"/>
    <mergeCell ref="C46:G46"/>
    <mergeCell ref="C70:G70"/>
    <mergeCell ref="C89:G89"/>
    <mergeCell ref="B104:B110"/>
    <mergeCell ref="B21:B46"/>
    <mergeCell ref="B47:B70"/>
    <mergeCell ref="B71:B89"/>
    <mergeCell ref="B111:B113"/>
    <mergeCell ref="C113:G113"/>
    <mergeCell ref="B19:B20"/>
    <mergeCell ref="C110:G110"/>
    <mergeCell ref="B114:B125"/>
  </mergeCells>
  <phoneticPr fontId="10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3C155-B703-42FA-A9BD-0E646D333329}">
  <dimension ref="B4:E10"/>
  <sheetViews>
    <sheetView showGridLines="0" workbookViewId="0">
      <selection activeCell="B8" sqref="B8"/>
    </sheetView>
  </sheetViews>
  <sheetFormatPr baseColWidth="10" defaultColWidth="11.42578125" defaultRowHeight="16.5" x14ac:dyDescent="0.25"/>
  <cols>
    <col min="1" max="1" width="11.42578125" style="279"/>
    <col min="2" max="2" width="64.42578125" style="282" customWidth="1"/>
    <col min="3" max="3" width="18.42578125" style="279" customWidth="1"/>
    <col min="4" max="4" width="15.28515625" style="280" customWidth="1"/>
    <col min="5" max="5" width="18.85546875" style="279" customWidth="1"/>
    <col min="6" max="16384" width="11.42578125" style="279"/>
  </cols>
  <sheetData>
    <row r="4" spans="2:5" x14ac:dyDescent="0.25">
      <c r="B4" s="373" t="s">
        <v>441</v>
      </c>
      <c r="C4" s="373"/>
      <c r="D4" s="373"/>
      <c r="E4" s="373"/>
    </row>
    <row r="5" spans="2:5" ht="9.75" customHeight="1" x14ac:dyDescent="0.25"/>
    <row r="6" spans="2:5" s="281" customFormat="1" ht="35.25" customHeight="1" x14ac:dyDescent="0.25">
      <c r="B6" s="286" t="s">
        <v>442</v>
      </c>
      <c r="C6" s="286" t="s">
        <v>444</v>
      </c>
      <c r="D6" s="287" t="s">
        <v>447</v>
      </c>
      <c r="E6" s="286" t="s">
        <v>443</v>
      </c>
    </row>
    <row r="7" spans="2:5" ht="20.25" customHeight="1" x14ac:dyDescent="0.25">
      <c r="B7" s="283" t="s">
        <v>445</v>
      </c>
      <c r="C7" s="284" t="s">
        <v>292</v>
      </c>
      <c r="D7" s="285">
        <v>1790000</v>
      </c>
      <c r="E7" s="284" t="s">
        <v>293</v>
      </c>
    </row>
    <row r="8" spans="2:5" ht="33" customHeight="1" x14ac:dyDescent="0.25">
      <c r="B8" s="289" t="s">
        <v>446</v>
      </c>
      <c r="C8" s="284" t="s">
        <v>294</v>
      </c>
      <c r="D8" s="285">
        <v>23279500</v>
      </c>
      <c r="E8" s="284" t="s">
        <v>293</v>
      </c>
    </row>
    <row r="9" spans="2:5" ht="20.25" customHeight="1" x14ac:dyDescent="0.25">
      <c r="B9" s="283" t="s">
        <v>448</v>
      </c>
      <c r="C9" s="284" t="s">
        <v>294</v>
      </c>
      <c r="D9" s="285">
        <v>3705750</v>
      </c>
      <c r="E9" s="284" t="s">
        <v>293</v>
      </c>
    </row>
    <row r="10" spans="2:5" x14ac:dyDescent="0.25">
      <c r="D10" s="288">
        <f>SUM(D7:D9)</f>
        <v>28775250</v>
      </c>
    </row>
  </sheetData>
  <mergeCells count="1">
    <mergeCell ref="B4:E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E80015FFC4F47825C394EB098D1AD" ma:contentTypeVersion="3" ma:contentTypeDescription="Crée un document." ma:contentTypeScope="" ma:versionID="3ec7a799e7bc38950c99cabe7f38f1e7">
  <xsd:schema xmlns:xsd="http://www.w3.org/2001/XMLSchema" xmlns:xs="http://www.w3.org/2001/XMLSchema" xmlns:p="http://schemas.microsoft.com/office/2006/metadata/properties" xmlns:ns2="245ca510-d976-46b4-9bc4-4f2c741cc42a" targetNamespace="http://schemas.microsoft.com/office/2006/metadata/properties" ma:root="true" ma:fieldsID="ae715d0aba0532e95a212ab571008204" ns2:_="">
    <xsd:import namespace="245ca510-d976-46b4-9bc4-4f2c741cc4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5ca510-d976-46b4-9bc4-4f2c741cc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130C56-5AD9-4FF2-98A9-6CAE844B8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5ca510-d976-46b4-9bc4-4f2c741cc4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CCE85D-BA13-4350-BCFC-C96AAC950E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24</vt:i4>
      </vt:variant>
    </vt:vector>
  </HeadingPairs>
  <TitlesOfParts>
    <vt:vector size="37" baseType="lpstr">
      <vt:lpstr>liste</vt:lpstr>
      <vt:lpstr>Feuil2</vt:lpstr>
      <vt:lpstr>PROJECTION RESTE A FACTURER</vt:lpstr>
      <vt:lpstr>TDB</vt:lpstr>
      <vt:lpstr>DETAILS PROJETS</vt:lpstr>
      <vt:lpstr>projet avec budget</vt:lpstr>
      <vt:lpstr>projets sans budget</vt:lpstr>
      <vt:lpstr>DATA</vt:lpstr>
      <vt:lpstr>Mémo explicatif</vt:lpstr>
      <vt:lpstr>CARNET DE CMDE</vt:lpstr>
      <vt:lpstr>ETAT DES FACTURATIONS GLOBA (2)</vt:lpstr>
      <vt:lpstr>ETAT DES FACTURATIONS GLOBALES</vt:lpstr>
      <vt:lpstr>Feuil1</vt:lpstr>
      <vt:lpstr>'DETAILS PROJETS'!annee</vt:lpstr>
      <vt:lpstr>'ETAT DES FACTURATIONS GLOBA (2)'!annee</vt:lpstr>
      <vt:lpstr>'projet avec budget'!annee</vt:lpstr>
      <vt:lpstr>'projets sans budget'!annee</vt:lpstr>
      <vt:lpstr>annee</vt:lpstr>
      <vt:lpstr>'DETAILS PROJETS'!EFG</vt:lpstr>
      <vt:lpstr>'ETAT DES FACTURATIONS GLOBA (2)'!EFG</vt:lpstr>
      <vt:lpstr>'projet avec budget'!EFG</vt:lpstr>
      <vt:lpstr>'projets sans budget'!EFG</vt:lpstr>
      <vt:lpstr>EFG</vt:lpstr>
      <vt:lpstr>'DETAILS PROJETS'!mois</vt:lpstr>
      <vt:lpstr>'ETAT DES FACTURATIONS GLOBA (2)'!mois</vt:lpstr>
      <vt:lpstr>'ETAT DES FACTURATIONS GLOBALES'!mois</vt:lpstr>
      <vt:lpstr>'projet avec budget'!mois</vt:lpstr>
      <vt:lpstr>'projets sans budget'!mois</vt:lpstr>
      <vt:lpstr>mois</vt:lpstr>
      <vt:lpstr>'DETAILS PROJETS'!STATUT</vt:lpstr>
      <vt:lpstr>'ETAT DES FACTURATIONS GLOBA (2)'!STATUT</vt:lpstr>
      <vt:lpstr>'projet avec budget'!STATUT</vt:lpstr>
      <vt:lpstr>'projets sans budget'!STATUT</vt:lpstr>
      <vt:lpstr>STATUT</vt:lpstr>
      <vt:lpstr>'DETAILS PROJETS'!Zone_d_impression</vt:lpstr>
      <vt:lpstr>'projet avec budget'!Zone_d_impression</vt:lpstr>
      <vt:lpstr>'projets sans budget'!Zone_d_impression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Odette OUENSOU</dc:creator>
  <cp:lastModifiedBy>Odette OUENSOU</cp:lastModifiedBy>
  <cp:lastPrinted>2025-02-28T14:20:47Z</cp:lastPrinted>
  <dcterms:created xsi:type="dcterms:W3CDTF">2015-06-05T18:19:34Z</dcterms:created>
  <dcterms:modified xsi:type="dcterms:W3CDTF">2025-08-26T11:18:59Z</dcterms:modified>
</cp:coreProperties>
</file>