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sdpgroupe-my.sharepoint.com/personal/mireille_houedan_sdpgroupe_com/Documents/Enregistrements/Bureau/"/>
    </mc:Choice>
  </mc:AlternateContent>
  <xr:revisionPtr revIDLastSave="64" documentId="13_ncr:1_{C911F6B5-8F3C-4B08-87B6-C150A86B6C0C}" xr6:coauthVersionLast="47" xr6:coauthVersionMax="47" xr10:uidLastSave="{92AEA832-CF36-4631-AEE9-3D996EDA651C}"/>
  <bookViews>
    <workbookView xWindow="0" yWindow="0" windowWidth="28800" windowHeight="15480" firstSheet="4" activeTab="4" xr2:uid="{00000000-000D-0000-FFFF-FFFF00000000}"/>
  </bookViews>
  <sheets>
    <sheet name="Feuil1" sheetId="3" state="hidden" r:id="rId1"/>
    <sheet name="JANVIER 2025" sheetId="16" state="hidden" r:id="rId2"/>
    <sheet name="Suivi liste salariés exoner " sheetId="36" state="hidden" r:id="rId3"/>
    <sheet name="JUILLET2026  (2)" sheetId="40" state="hidden" r:id="rId4"/>
    <sheet name="AOÛT2026 " sheetId="41" r:id="rId5"/>
  </sheets>
  <definedNames>
    <definedName name="_xlnm._FilterDatabase" localSheetId="2" hidden="1">'Suivi liste salariés exoner '!$H$5:$H$19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43" i="40" l="1"/>
  <c r="Y43" i="40"/>
  <c r="U43" i="40"/>
  <c r="S43" i="40"/>
  <c r="P43" i="40"/>
  <c r="N43" i="40"/>
  <c r="M43" i="40"/>
  <c r="L43" i="40"/>
  <c r="K43" i="40"/>
  <c r="J43" i="40"/>
  <c r="I43" i="40"/>
  <c r="H43" i="40"/>
  <c r="G43" i="40"/>
  <c r="W42" i="40"/>
  <c r="X42" i="40" s="1"/>
  <c r="V42" i="40"/>
  <c r="T42" i="40"/>
  <c r="R42" i="40"/>
  <c r="Q42" i="40"/>
  <c r="O42" i="40"/>
  <c r="W41" i="40"/>
  <c r="X41" i="40" s="1"/>
  <c r="V41" i="40"/>
  <c r="T41" i="40"/>
  <c r="R41" i="40"/>
  <c r="Q41" i="40"/>
  <c r="O41" i="40"/>
  <c r="X40" i="40"/>
  <c r="W40" i="40"/>
  <c r="V40" i="40"/>
  <c r="T40" i="40"/>
  <c r="R40" i="40"/>
  <c r="Q40" i="40"/>
  <c r="O40" i="40"/>
  <c r="X39" i="40"/>
  <c r="W39" i="40"/>
  <c r="Q39" i="40" s="1"/>
  <c r="V39" i="40"/>
  <c r="R39" i="40"/>
  <c r="O39" i="40"/>
  <c r="W38" i="40"/>
  <c r="Q38" i="40" s="1"/>
  <c r="V38" i="40"/>
  <c r="R38" i="40"/>
  <c r="O38" i="40"/>
  <c r="W37" i="40"/>
  <c r="X37" i="40" s="1"/>
  <c r="V37" i="40"/>
  <c r="T37" i="40"/>
  <c r="R37" i="40"/>
  <c r="Q37" i="40"/>
  <c r="O37" i="40"/>
  <c r="X36" i="40"/>
  <c r="W36" i="40"/>
  <c r="V36" i="40"/>
  <c r="T36" i="40"/>
  <c r="R36" i="40"/>
  <c r="Q36" i="40"/>
  <c r="O36" i="40"/>
  <c r="W35" i="40"/>
  <c r="X35" i="40" s="1"/>
  <c r="V35" i="40"/>
  <c r="T35" i="40"/>
  <c r="R35" i="40"/>
  <c r="Q35" i="40"/>
  <c r="O35" i="40"/>
  <c r="X34" i="40"/>
  <c r="W34" i="40"/>
  <c r="Q34" i="40" s="1"/>
  <c r="V34" i="40"/>
  <c r="O34" i="40"/>
  <c r="W33" i="40"/>
  <c r="Q33" i="40" s="1"/>
  <c r="V33" i="40"/>
  <c r="R33" i="40"/>
  <c r="O33" i="40"/>
  <c r="W32" i="40"/>
  <c r="X32" i="40" s="1"/>
  <c r="V32" i="40"/>
  <c r="T32" i="40"/>
  <c r="Q32" i="40"/>
  <c r="O32" i="40"/>
  <c r="W31" i="40"/>
  <c r="X31" i="40" s="1"/>
  <c r="V31" i="40"/>
  <c r="T31" i="40"/>
  <c r="O31" i="40"/>
  <c r="X30" i="40"/>
  <c r="W30" i="40"/>
  <c r="Q30" i="40" s="1"/>
  <c r="V30" i="40"/>
  <c r="O30" i="40"/>
  <c r="X29" i="40"/>
  <c r="W29" i="40"/>
  <c r="V29" i="40"/>
  <c r="T29" i="40"/>
  <c r="Q29" i="40"/>
  <c r="O29" i="40"/>
  <c r="X28" i="40"/>
  <c r="W28" i="40"/>
  <c r="V28" i="40"/>
  <c r="Q28" i="40"/>
  <c r="O28" i="40"/>
  <c r="X27" i="40"/>
  <c r="W27" i="40"/>
  <c r="Q27" i="40" s="1"/>
  <c r="V27" i="40"/>
  <c r="T27" i="40"/>
  <c r="O27" i="40"/>
  <c r="W26" i="40"/>
  <c r="Q26" i="40" s="1"/>
  <c r="V26" i="40"/>
  <c r="R26" i="40"/>
  <c r="O26" i="40"/>
  <c r="W25" i="40"/>
  <c r="X25" i="40" s="1"/>
  <c r="V25" i="40"/>
  <c r="T25" i="40"/>
  <c r="Q25" i="40"/>
  <c r="O25" i="40"/>
  <c r="W24" i="40"/>
  <c r="X24" i="40" s="1"/>
  <c r="V24" i="40"/>
  <c r="R24" i="40"/>
  <c r="O24" i="40"/>
  <c r="X23" i="40"/>
  <c r="W23" i="40"/>
  <c r="Q23" i="40" s="1"/>
  <c r="V23" i="40"/>
  <c r="T23" i="40"/>
  <c r="O23" i="40"/>
  <c r="W22" i="40"/>
  <c r="Q22" i="40" s="1"/>
  <c r="V22" i="40"/>
  <c r="T22" i="40"/>
  <c r="O22" i="40"/>
  <c r="W21" i="40"/>
  <c r="X21" i="40" s="1"/>
  <c r="V21" i="40"/>
  <c r="T21" i="40"/>
  <c r="Q21" i="40"/>
  <c r="O21" i="40"/>
  <c r="W20" i="40"/>
  <c r="X20" i="40" s="1"/>
  <c r="V20" i="40"/>
  <c r="Q20" i="40"/>
  <c r="O20" i="40"/>
  <c r="W19" i="40"/>
  <c r="Q19" i="40" s="1"/>
  <c r="V19" i="40"/>
  <c r="O19" i="40"/>
  <c r="W18" i="40"/>
  <c r="X18" i="40" s="1"/>
  <c r="V18" i="40"/>
  <c r="Q18" i="40"/>
  <c r="O18" i="40"/>
  <c r="X17" i="40"/>
  <c r="W17" i="40"/>
  <c r="V17" i="40"/>
  <c r="T17" i="40"/>
  <c r="Q17" i="40"/>
  <c r="O17" i="40"/>
  <c r="W16" i="40"/>
  <c r="Q16" i="40" s="1"/>
  <c r="V16" i="40"/>
  <c r="O16" i="40"/>
  <c r="W15" i="40"/>
  <c r="X15" i="40" s="1"/>
  <c r="V15" i="40"/>
  <c r="T15" i="40"/>
  <c r="Q15" i="40"/>
  <c r="O15" i="40"/>
  <c r="W14" i="40"/>
  <c r="X14" i="40" s="1"/>
  <c r="V14" i="40"/>
  <c r="T14" i="40"/>
  <c r="O14" i="40"/>
  <c r="X13" i="40"/>
  <c r="W13" i="40"/>
  <c r="Q13" i="40" s="1"/>
  <c r="V13" i="40"/>
  <c r="R13" i="40"/>
  <c r="O13" i="40"/>
  <c r="W12" i="40"/>
  <c r="Q12" i="40" s="1"/>
  <c r="V12" i="40"/>
  <c r="T12" i="40"/>
  <c r="O12" i="40"/>
  <c r="W11" i="40"/>
  <c r="X11" i="40" s="1"/>
  <c r="V11" i="40"/>
  <c r="T11" i="40"/>
  <c r="Q11" i="40"/>
  <c r="O11" i="40"/>
  <c r="W10" i="40"/>
  <c r="X10" i="40" s="1"/>
  <c r="V10" i="40"/>
  <c r="T10" i="40"/>
  <c r="O10" i="40"/>
  <c r="X9" i="40"/>
  <c r="W9" i="40"/>
  <c r="Q9" i="40" s="1"/>
  <c r="V9" i="40"/>
  <c r="T9" i="40"/>
  <c r="O9" i="40"/>
  <c r="W8" i="40"/>
  <c r="Q8" i="40" s="1"/>
  <c r="V8" i="40"/>
  <c r="T8" i="40"/>
  <c r="O8" i="40"/>
  <c r="W7" i="40"/>
  <c r="X7" i="40" s="1"/>
  <c r="V7" i="40"/>
  <c r="T7" i="40"/>
  <c r="Q7" i="40"/>
  <c r="O7" i="40"/>
  <c r="W6" i="40"/>
  <c r="X6" i="40" s="1"/>
  <c r="V6" i="40"/>
  <c r="V43" i="40" s="1"/>
  <c r="T6" i="40"/>
  <c r="T43" i="40" s="1"/>
  <c r="O6" i="40"/>
  <c r="Q6" i="40" l="1"/>
  <c r="Q43" i="40" s="1"/>
  <c r="X8" i="40"/>
  <c r="Q10" i="40"/>
  <c r="X12" i="40"/>
  <c r="Q14" i="40"/>
  <c r="X22" i="40"/>
  <c r="Q24" i="40"/>
  <c r="X26" i="40"/>
  <c r="X43" i="40" s="1"/>
  <c r="Q31" i="40"/>
  <c r="X33" i="40"/>
  <c r="X38" i="40"/>
  <c r="W43" i="40"/>
  <c r="X16" i="40"/>
  <c r="X19" i="40"/>
</calcChain>
</file>

<file path=xl/sharedStrings.xml><?xml version="1.0" encoding="utf-8"?>
<sst xmlns="http://schemas.openxmlformats.org/spreadsheetml/2006/main" count="492" uniqueCount="138">
  <si>
    <t>PERIODE</t>
  </si>
  <si>
    <t>FICHIER CNSS</t>
  </si>
  <si>
    <t>N°</t>
  </si>
  <si>
    <t>NOM ET PRENOMS</t>
  </si>
  <si>
    <t>QUALIFICATIONS</t>
  </si>
  <si>
    <t>DATE D'EMBAUCHAGE</t>
  </si>
  <si>
    <t>NUMERO IFU</t>
  </si>
  <si>
    <t>REMUNERATION BRUTE</t>
  </si>
  <si>
    <t>REMUNERATION NETTE</t>
  </si>
  <si>
    <t>DANVI MANBEROU WILFRID</t>
  </si>
  <si>
    <t>INGENIEUR PROJETS</t>
  </si>
  <si>
    <t>0202296757141</t>
  </si>
  <si>
    <t>OUENSOU ODETTE</t>
  </si>
  <si>
    <t>CONTROLEUR DE GESTION</t>
  </si>
  <si>
    <t>0202290767310</t>
  </si>
  <si>
    <t>HOUEDAN MIREILLE JESUGNON</t>
  </si>
  <si>
    <t>JURISTE</t>
  </si>
  <si>
    <t>0202295384038</t>
  </si>
  <si>
    <t>HOUNTONDJI IGOR VIYANFODE</t>
  </si>
  <si>
    <t>ASSISTANT DE DIRECTION</t>
  </si>
  <si>
    <t>BOCLI EDITH</t>
  </si>
  <si>
    <t>SECRETAIRE</t>
  </si>
  <si>
    <t>0202232021743</t>
  </si>
  <si>
    <t>DAGBA SEGBEGNON CIANO</t>
  </si>
  <si>
    <t>Chauffeur</t>
  </si>
  <si>
    <t>0202274883547</t>
  </si>
  <si>
    <t>ABISSI AREL</t>
  </si>
  <si>
    <t>0201910890121</t>
  </si>
  <si>
    <t xml:space="preserve">BESSAN COMLAN </t>
  </si>
  <si>
    <t>0202012172840</t>
  </si>
  <si>
    <t>ADILEKON MINVOGNONHOU A PEDRA</t>
  </si>
  <si>
    <t>ADOSSOU CADJE JEANNOT</t>
  </si>
  <si>
    <t>AKPO TINIKOWA HOSPICE</t>
  </si>
  <si>
    <t>AKPOLI KISITO JO BLECK MIDEDJI</t>
  </si>
  <si>
    <t>AYI YAO VICTOR</t>
  </si>
  <si>
    <t>AZONDEKON MIREILLE CHANTAL</t>
  </si>
  <si>
    <t>DA MATHA ARNAUD EULOGE</t>
  </si>
  <si>
    <t>DANDJINOU ADECHINA BOLADJI FRANCITE</t>
  </si>
  <si>
    <t>DATCHE GEORGES</t>
  </si>
  <si>
    <t>DEGILA KOFFI GBETOHO EDMOND</t>
  </si>
  <si>
    <t>DJIWA ESSOZIMNA</t>
  </si>
  <si>
    <t>DOHO MATHIEU</t>
  </si>
  <si>
    <t>KPEHOUNTON BERTSY AUGUSTIN</t>
  </si>
  <si>
    <t>MARQUES LIONEL FREDDY MAEL</t>
  </si>
  <si>
    <t>MAYODE BERNADIN MAKPONDEHOU NONVIGNON</t>
  </si>
  <si>
    <t>PARAISO NOUROU D S BONAVETURE</t>
  </si>
  <si>
    <t>SAVI KEVIN AKPEDJE</t>
  </si>
  <si>
    <t>TAKO HOUENOUMABOU CHARBEL</t>
  </si>
  <si>
    <t>TCHATCHARA BOUKARI</t>
  </si>
  <si>
    <t>TOVIHO ALFRED</t>
  </si>
  <si>
    <t>AMOUSSOUGA CORNEILLE</t>
  </si>
  <si>
    <t>ANAMA Clarisse</t>
  </si>
  <si>
    <t>FOSSOU CHRISTIAN</t>
  </si>
  <si>
    <t>HOLONOU Hyacinthe</t>
  </si>
  <si>
    <t>SODOFIO Nestor</t>
  </si>
  <si>
    <t>Agent d'entretien</t>
  </si>
  <si>
    <t>Cuisinier</t>
  </si>
  <si>
    <t>Agent de liaison</t>
  </si>
  <si>
    <t>Chargée d'études</t>
  </si>
  <si>
    <t>0202011351221</t>
  </si>
  <si>
    <t>0201710050980</t>
  </si>
  <si>
    <t>0202388176218</t>
  </si>
  <si>
    <t>0201910983583</t>
  </si>
  <si>
    <t>0202112794945</t>
  </si>
  <si>
    <t>0202294332079</t>
  </si>
  <si>
    <t>0202386475067</t>
  </si>
  <si>
    <t>0202216358830</t>
  </si>
  <si>
    <t>0202374260497</t>
  </si>
  <si>
    <t>0202112642450</t>
  </si>
  <si>
    <t>0202328351723</t>
  </si>
  <si>
    <t>0202374264150</t>
  </si>
  <si>
    <t>0202112816085</t>
  </si>
  <si>
    <t>0202481591057</t>
  </si>
  <si>
    <t>0202442259018</t>
  </si>
  <si>
    <t>0202295166146</t>
  </si>
  <si>
    <t>0202317632885</t>
  </si>
  <si>
    <t>0202327730356</t>
  </si>
  <si>
    <t>0202112863966</t>
  </si>
  <si>
    <t>0202397829658</t>
  </si>
  <si>
    <t>0202331075467</t>
  </si>
  <si>
    <t>0202256081706</t>
  </si>
  <si>
    <t>OLODO OGO LOUISETTE VERRA</t>
  </si>
  <si>
    <t>CHANTIERS</t>
  </si>
  <si>
    <t>LOGEMENT</t>
  </si>
  <si>
    <t>SALAIRE DE BASE</t>
  </si>
  <si>
    <t>ITS</t>
  </si>
  <si>
    <t>VPS</t>
  </si>
  <si>
    <t>CNSS</t>
  </si>
  <si>
    <t>OLODO VERRA</t>
  </si>
  <si>
    <t>DJEGUI LUC HERMION MAFOYA</t>
  </si>
  <si>
    <t>Total</t>
  </si>
  <si>
    <t>CNSS/PART PATRONNALE</t>
  </si>
  <si>
    <t>Exoneration VPS</t>
  </si>
  <si>
    <t>CNSS/  OUVRIERE</t>
  </si>
  <si>
    <t>OBSERVATIONS</t>
  </si>
  <si>
    <t>CNSS/EXCEL</t>
  </si>
  <si>
    <t xml:space="preserve">                                                          </t>
  </si>
  <si>
    <t xml:space="preserve">                 </t>
  </si>
  <si>
    <t xml:space="preserve">   </t>
  </si>
  <si>
    <t>AUTRES RETENUS</t>
  </si>
  <si>
    <t xml:space="preserve"> </t>
  </si>
  <si>
    <t>0202498816000</t>
  </si>
  <si>
    <t>0202534236064</t>
  </si>
  <si>
    <t>INDEMNITE D'ELOIGNEMENT</t>
  </si>
  <si>
    <t>AFFO ADETOLA HERMINE</t>
  </si>
  <si>
    <t>ASSISTANTE PROJET</t>
  </si>
  <si>
    <t>0202324490590</t>
  </si>
  <si>
    <t>TONI BERTILLE SYLVIA</t>
  </si>
  <si>
    <t>COMPTABLE</t>
  </si>
  <si>
    <t>0202112760964</t>
  </si>
  <si>
    <t>HOUESSOU AUBENAS</t>
  </si>
  <si>
    <t>INGENIEUR PLANIFICATION BUDJET</t>
  </si>
  <si>
    <t>0202214290595</t>
  </si>
  <si>
    <t>PRIME DE LICENCIEMENT</t>
  </si>
  <si>
    <t>AGENT DE LIAISON</t>
  </si>
  <si>
    <t>SODOFIO KOMI NESTOR</t>
  </si>
  <si>
    <t>WOBRA ANANDJI</t>
  </si>
  <si>
    <t>0202451301891</t>
  </si>
  <si>
    <t>CUISINIER</t>
  </si>
  <si>
    <t>IBRAHIM AMADOU YOUSSOUFA</t>
  </si>
  <si>
    <t>BIAOU ERNEST moitié mois</t>
  </si>
  <si>
    <t>0202330471907</t>
  </si>
  <si>
    <t>3200700024516</t>
  </si>
  <si>
    <t>Liste des salariés exonerés de vps</t>
  </si>
  <si>
    <t>DATE D'AVIS  D'EMBAUCHAGE</t>
  </si>
  <si>
    <t>DATE FIN EXONERATION VPS</t>
  </si>
  <si>
    <t>31/09/2026</t>
  </si>
  <si>
    <t>SODOFIO NESTOR</t>
  </si>
  <si>
    <t>01/10/2024_01/11/2025</t>
  </si>
  <si>
    <t>INGENIEUR GENIE CIVIL</t>
  </si>
  <si>
    <t xml:space="preserve"> RETENUS ORTB</t>
  </si>
  <si>
    <t>YACOUBOU YESSOUF</t>
  </si>
  <si>
    <t>0202112693547</t>
  </si>
  <si>
    <t>PRIME EXCEPTIONNELLE</t>
  </si>
  <si>
    <t>PRIME DEROGATOIRE</t>
  </si>
  <si>
    <t>MEKPOSSI BRICE EZECHIEL</t>
  </si>
  <si>
    <t>INDEMNITE DE CONGES</t>
  </si>
  <si>
    <t>0202450216306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</si>
</sst>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26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26"/>
      <color rgb="FFC00000"/>
      <name val="Calibri Light"/>
      <family val="2"/>
      <scheme val="major"/>
    </font>
    <font>
      <b/>
      <sz val="16"/>
      <color rgb="FFC00000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sz val="12"/>
      <color theme="1"/>
      <name val="Aptos"/>
      <family val="2"/>
    </font>
    <font>
      <sz val="11"/>
      <name val="Calibri Light"/>
      <family val="2"/>
    </font>
    <font>
      <b/>
      <sz val="11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/>
    <xf numFmtId="164" fontId="2" fillId="0" borderId="0" xfId="1" applyNumberFormat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3" fillId="3" borderId="2" xfId="1" applyNumberFormat="1" applyFont="1" applyFill="1" applyBorder="1" applyAlignment="1">
      <alignment horizontal="center" vertical="center" wrapText="1"/>
    </xf>
    <xf numFmtId="164" fontId="3" fillId="3" borderId="3" xfId="1" applyNumberFormat="1" applyFon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164" fontId="6" fillId="2" borderId="1" xfId="1" applyNumberFormat="1" applyFont="1" applyFill="1" applyBorder="1" applyAlignment="1">
      <alignment horizontal="center" vertical="center" wrapText="1"/>
    </xf>
    <xf numFmtId="14" fontId="6" fillId="2" borderId="5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14" fontId="2" fillId="2" borderId="1" xfId="1" quotePrefix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left" vertical="center" wrapText="1"/>
    </xf>
    <xf numFmtId="164" fontId="6" fillId="2" borderId="1" xfId="1" applyNumberFormat="1" applyFont="1" applyFill="1" applyBorder="1" applyAlignment="1">
      <alignment horizontal="left" vertical="center" wrapText="1"/>
    </xf>
    <xf numFmtId="14" fontId="6" fillId="2" borderId="1" xfId="1" quotePrefix="1" applyNumberFormat="1" applyFont="1" applyFill="1" applyBorder="1" applyAlignment="1">
      <alignment horizontal="center" vertical="center" wrapText="1"/>
    </xf>
    <xf numFmtId="1" fontId="6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64" fontId="6" fillId="2" borderId="5" xfId="1" applyNumberFormat="1" applyFont="1" applyFill="1" applyBorder="1" applyAlignment="1">
      <alignment horizontal="left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14" fontId="6" fillId="2" borderId="5" xfId="1" quotePrefix="1" applyNumberFormat="1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164" fontId="2" fillId="2" borderId="4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left" vertical="center" wrapText="1"/>
    </xf>
    <xf numFmtId="14" fontId="2" fillId="2" borderId="3" xfId="1" quotePrefix="1" applyNumberFormat="1" applyFont="1" applyFill="1" applyBorder="1" applyAlignment="1">
      <alignment horizontal="center" vertical="center" wrapText="1"/>
    </xf>
    <xf numFmtId="14" fontId="7" fillId="2" borderId="5" xfId="1" applyNumberFormat="1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left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14" fontId="7" fillId="2" borderId="5" xfId="1" quotePrefix="1" applyNumberFormat="1" applyFont="1" applyFill="1" applyBorder="1" applyAlignment="1">
      <alignment horizontal="center" vertical="center" wrapText="1"/>
    </xf>
    <xf numFmtId="14" fontId="2" fillId="2" borderId="5" xfId="1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horizontal="left" vertical="center" wrapText="1"/>
    </xf>
    <xf numFmtId="164" fontId="2" fillId="2" borderId="5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164" fontId="2" fillId="2" borderId="7" xfId="1" applyNumberFormat="1" applyFont="1" applyFill="1" applyBorder="1" applyAlignment="1">
      <alignment horizontal="center" vertical="center" wrapText="1"/>
    </xf>
    <xf numFmtId="1" fontId="2" fillId="2" borderId="3" xfId="1" quotePrefix="1" applyNumberFormat="1" applyFont="1" applyFill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164" fontId="2" fillId="2" borderId="8" xfId="1" applyNumberFormat="1" applyFont="1" applyFill="1" applyBorder="1" applyAlignment="1">
      <alignment horizontal="center" vertical="center" wrapText="1"/>
    </xf>
    <xf numFmtId="14" fontId="2" fillId="2" borderId="9" xfId="1" quotePrefix="1" applyNumberFormat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 wrapText="1"/>
    </xf>
    <xf numFmtId="14" fontId="8" fillId="2" borderId="1" xfId="1" applyNumberFormat="1" applyFont="1" applyFill="1" applyBorder="1" applyAlignment="1">
      <alignment horizontal="center" vertical="center" wrapText="1"/>
    </xf>
    <xf numFmtId="14" fontId="8" fillId="0" borderId="1" xfId="1" quotePrefix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left" vertical="center" wrapText="1"/>
    </xf>
    <xf numFmtId="165" fontId="9" fillId="2" borderId="0" xfId="1" applyNumberFormat="1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center" vertical="center" wrapText="1"/>
    </xf>
    <xf numFmtId="14" fontId="8" fillId="2" borderId="1" xfId="1" quotePrefix="1" applyNumberFormat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7" xfId="1" applyNumberFormat="1" applyFont="1" applyFill="1" applyBorder="1" applyAlignment="1">
      <alignment horizontal="center" vertical="center" wrapText="1"/>
    </xf>
    <xf numFmtId="14" fontId="2" fillId="2" borderId="5" xfId="1" quotePrefix="1" applyNumberFormat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64" fontId="2" fillId="0" borderId="1" xfId="1" applyNumberFormat="1" applyFont="1" applyBorder="1"/>
    <xf numFmtId="164" fontId="2" fillId="0" borderId="0" xfId="0" applyNumberFormat="1" applyFont="1"/>
    <xf numFmtId="164" fontId="2" fillId="2" borderId="0" xfId="1" applyNumberFormat="1" applyFont="1" applyFill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12" fillId="3" borderId="3" xfId="1" applyNumberFormat="1" applyFont="1" applyFill="1" applyBorder="1" applyAlignment="1">
      <alignment horizontal="center" vertical="center" wrapText="1"/>
    </xf>
    <xf numFmtId="14" fontId="12" fillId="3" borderId="3" xfId="1" applyNumberFormat="1" applyFont="1" applyFill="1" applyBorder="1" applyAlignment="1">
      <alignment horizontal="center" vertical="center" wrapText="1"/>
    </xf>
    <xf numFmtId="164" fontId="12" fillId="3" borderId="4" xfId="1" applyNumberFormat="1" applyFont="1" applyFill="1" applyBorder="1" applyAlignment="1">
      <alignment horizontal="center" vertical="center" wrapText="1"/>
    </xf>
    <xf numFmtId="164" fontId="12" fillId="3" borderId="1" xfId="1" applyNumberFormat="1" applyFont="1" applyFill="1" applyBorder="1" applyAlignment="1">
      <alignment horizontal="center" vertical="center"/>
    </xf>
    <xf numFmtId="164" fontId="13" fillId="3" borderId="1" xfId="1" applyNumberFormat="1" applyFont="1" applyFill="1" applyBorder="1" applyAlignment="1">
      <alignment horizontal="center" vertical="center"/>
    </xf>
    <xf numFmtId="164" fontId="12" fillId="3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4" fontId="11" fillId="4" borderId="1" xfId="1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164" fontId="3" fillId="2" borderId="1" xfId="1" applyNumberFormat="1" applyFont="1" applyFill="1" applyBorder="1" applyAlignment="1">
      <alignment horizontal="left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4" fontId="3" fillId="2" borderId="5" xfId="1" applyNumberFormat="1" applyFont="1" applyFill="1" applyBorder="1" applyAlignment="1">
      <alignment horizontal="center" vertical="center" wrapText="1"/>
    </xf>
    <xf numFmtId="14" fontId="3" fillId="2" borderId="3" xfId="1" quotePrefix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/>
    </xf>
    <xf numFmtId="164" fontId="11" fillId="2" borderId="1" xfId="1" applyNumberFormat="1" applyFont="1" applyFill="1" applyBorder="1" applyAlignment="1">
      <alignment vertical="center"/>
    </xf>
    <xf numFmtId="164" fontId="15" fillId="3" borderId="1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/>
    <xf numFmtId="164" fontId="11" fillId="2" borderId="0" xfId="1" applyNumberFormat="1" applyFont="1" applyFill="1"/>
    <xf numFmtId="164" fontId="2" fillId="2" borderId="0" xfId="1" applyNumberFormat="1" applyFont="1" applyFill="1"/>
    <xf numFmtId="164" fontId="2" fillId="2" borderId="5" xfId="0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left" vertical="center" wrapText="1"/>
    </xf>
    <xf numFmtId="14" fontId="3" fillId="2" borderId="1" xfId="1" quotePrefix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16" fillId="5" borderId="4" xfId="1" applyNumberFormat="1" applyFont="1" applyFill="1" applyBorder="1" applyAlignment="1">
      <alignment horizontal="center" vertical="center" wrapText="1"/>
    </xf>
    <xf numFmtId="14" fontId="3" fillId="2" borderId="5" xfId="1" quotePrefix="1" applyNumberFormat="1" applyFont="1" applyFill="1" applyBorder="1" applyAlignment="1">
      <alignment horizontal="center" vertical="center" wrapText="1"/>
    </xf>
    <xf numFmtId="164" fontId="17" fillId="5" borderId="4" xfId="1" applyNumberFormat="1" applyFont="1" applyFill="1" applyBorder="1" applyAlignment="1">
      <alignment horizontal="center" vertical="center" wrapText="1"/>
    </xf>
    <xf numFmtId="164" fontId="16" fillId="2" borderId="4" xfId="1" applyNumberFormat="1" applyFont="1" applyFill="1" applyBorder="1" applyAlignment="1">
      <alignment horizontal="center" vertical="center" wrapText="1"/>
    </xf>
    <xf numFmtId="164" fontId="3" fillId="3" borderId="12" xfId="1" applyNumberFormat="1" applyFont="1" applyFill="1" applyBorder="1" applyAlignment="1">
      <alignment horizontal="center" vertical="center" wrapText="1"/>
    </xf>
    <xf numFmtId="164" fontId="16" fillId="5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8" fillId="0" borderId="0" xfId="0" applyFont="1"/>
    <xf numFmtId="0" fontId="4" fillId="2" borderId="0" xfId="0" applyFont="1" applyFill="1"/>
    <xf numFmtId="164" fontId="4" fillId="2" borderId="1" xfId="1" applyNumberFormat="1" applyFont="1" applyFill="1" applyBorder="1" applyAlignment="1">
      <alignment horizontal="left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14" fontId="4" fillId="2" borderId="5" xfId="1" applyNumberFormat="1" applyFont="1" applyFill="1" applyBorder="1" applyAlignment="1">
      <alignment horizontal="center" vertical="center" wrapText="1"/>
    </xf>
    <xf numFmtId="14" fontId="4" fillId="2" borderId="3" xfId="1" quotePrefix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7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19" fillId="5" borderId="4" xfId="1" applyNumberFormat="1" applyFont="1" applyFill="1" applyBorder="1" applyAlignment="1">
      <alignment horizontal="center" vertical="center" wrapText="1"/>
    </xf>
    <xf numFmtId="164" fontId="19" fillId="2" borderId="4" xfId="1" applyNumberFormat="1" applyFont="1" applyFill="1" applyBorder="1" applyAlignment="1">
      <alignment horizontal="center" vertical="center" wrapText="1"/>
    </xf>
    <xf numFmtId="1" fontId="4" fillId="2" borderId="3" xfId="1" quotePrefix="1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164" fontId="11" fillId="2" borderId="1" xfId="1" applyNumberFormat="1" applyFont="1" applyFill="1" applyBorder="1" applyAlignment="1">
      <alignment horizontal="left" vertical="center" wrapText="1"/>
    </xf>
    <xf numFmtId="164" fontId="11" fillId="2" borderId="5" xfId="1" applyNumberFormat="1" applyFont="1" applyFill="1" applyBorder="1" applyAlignment="1">
      <alignment horizontal="center" vertical="center" wrapText="1"/>
    </xf>
    <xf numFmtId="14" fontId="11" fillId="2" borderId="5" xfId="1" applyNumberFormat="1" applyFont="1" applyFill="1" applyBorder="1" applyAlignment="1">
      <alignment horizontal="center" vertical="center" wrapText="1"/>
    </xf>
    <xf numFmtId="14" fontId="11" fillId="2" borderId="3" xfId="1" quotePrefix="1" applyNumberFormat="1" applyFont="1" applyFill="1" applyBorder="1" applyAlignment="1">
      <alignment horizontal="center" vertical="center" wrapText="1"/>
    </xf>
    <xf numFmtId="164" fontId="11" fillId="2" borderId="1" xfId="1" applyNumberFormat="1" applyFont="1" applyFill="1" applyBorder="1" applyAlignment="1">
      <alignment horizontal="center" vertical="center" wrapText="1"/>
    </xf>
    <xf numFmtId="164" fontId="11" fillId="2" borderId="7" xfId="1" applyNumberFormat="1" applyFont="1" applyFill="1" applyBorder="1" applyAlignment="1">
      <alignment horizontal="center" vertical="center" wrapText="1"/>
    </xf>
    <xf numFmtId="164" fontId="11" fillId="2" borderId="4" xfId="1" applyNumberFormat="1" applyFont="1" applyFill="1" applyBorder="1" applyAlignment="1">
      <alignment horizontal="center" vertical="center" wrapText="1"/>
    </xf>
    <xf numFmtId="164" fontId="20" fillId="2" borderId="4" xfId="1" applyNumberFormat="1" applyFont="1" applyFill="1" applyBorder="1" applyAlignment="1">
      <alignment horizontal="center" vertical="center" wrapText="1"/>
    </xf>
    <xf numFmtId="164" fontId="20" fillId="5" borderId="4" xfId="1" applyNumberFormat="1" applyFont="1" applyFill="1" applyBorder="1" applyAlignment="1">
      <alignment horizontal="center" vertical="center" wrapText="1"/>
    </xf>
    <xf numFmtId="164" fontId="19" fillId="5" borderId="1" xfId="1" applyNumberFormat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14" fontId="4" fillId="2" borderId="1" xfId="1" quotePrefix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19" fillId="5" borderId="10" xfId="1" applyNumberFormat="1" applyFont="1" applyFill="1" applyBorder="1" applyAlignment="1">
      <alignment horizontal="center" vertical="center" wrapText="1"/>
    </xf>
    <xf numFmtId="14" fontId="4" fillId="2" borderId="0" xfId="1" quotePrefix="1" applyNumberFormat="1" applyFont="1" applyFill="1" applyBorder="1" applyAlignment="1">
      <alignment horizontal="center" vertical="center" wrapText="1"/>
    </xf>
    <xf numFmtId="164" fontId="19" fillId="5" borderId="8" xfId="1" applyNumberFormat="1" applyFont="1" applyFill="1" applyBorder="1" applyAlignment="1">
      <alignment horizontal="center" vertical="center" wrapText="1"/>
    </xf>
    <xf numFmtId="164" fontId="3" fillId="6" borderId="2" xfId="1" applyNumberFormat="1" applyFont="1" applyFill="1" applyBorder="1" applyAlignment="1">
      <alignment horizontal="center" vertical="center" wrapText="1"/>
    </xf>
    <xf numFmtId="164" fontId="3" fillId="6" borderId="3" xfId="1" applyNumberFormat="1" applyFont="1" applyFill="1" applyBorder="1" applyAlignment="1">
      <alignment horizontal="center" vertical="center" wrapText="1"/>
    </xf>
    <xf numFmtId="164" fontId="12" fillId="6" borderId="3" xfId="1" applyNumberFormat="1" applyFont="1" applyFill="1" applyBorder="1" applyAlignment="1">
      <alignment horizontal="center" vertical="center" wrapText="1"/>
    </xf>
    <xf numFmtId="14" fontId="12" fillId="6" borderId="3" xfId="1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14" fontId="16" fillId="7" borderId="1" xfId="1" quotePrefix="1" applyNumberFormat="1" applyFont="1" applyFill="1" applyBorder="1" applyAlignment="1">
      <alignment horizontal="center" vertical="center" wrapText="1"/>
    </xf>
    <xf numFmtId="17" fontId="2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left" vertical="center" wrapText="1"/>
    </xf>
    <xf numFmtId="14" fontId="16" fillId="7" borderId="5" xfId="1" quotePrefix="1" applyNumberFormat="1" applyFont="1" applyFill="1" applyBorder="1" applyAlignment="1">
      <alignment horizontal="center" vertical="center" wrapText="1"/>
    </xf>
    <xf numFmtId="14" fontId="2" fillId="9" borderId="1" xfId="0" applyNumberFormat="1" applyFont="1" applyFill="1" applyBorder="1" applyAlignment="1">
      <alignment horizontal="center" vertical="center"/>
    </xf>
    <xf numFmtId="164" fontId="19" fillId="5" borderId="9" xfId="1" applyNumberFormat="1" applyFont="1" applyFill="1" applyBorder="1" applyAlignment="1">
      <alignment horizontal="center" vertical="center" wrapText="1"/>
    </xf>
    <xf numFmtId="164" fontId="16" fillId="5" borderId="9" xfId="1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164" fontId="2" fillId="2" borderId="11" xfId="0" applyNumberFormat="1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left" vertical="center" wrapText="1"/>
    </xf>
    <xf numFmtId="164" fontId="2" fillId="2" borderId="1" xfId="1" applyNumberFormat="1" applyFont="1" applyFill="1" applyBorder="1"/>
    <xf numFmtId="164" fontId="2" fillId="2" borderId="0" xfId="0" applyNumberFormat="1" applyFont="1" applyFill="1"/>
    <xf numFmtId="164" fontId="5" fillId="2" borderId="0" xfId="1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5" fontId="10" fillId="0" borderId="0" xfId="1" applyNumberFormat="1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1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</font>
      <numFmt numFmtId="164" formatCode="_-* #,##0_-;\-* #,##0_-;_-* &quot;-&quot;??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</font>
      <numFmt numFmtId="164" formatCode="_-* #,##0_-;\-* #,##0_-;_-* &quot;-&quot;??_-;_-@_-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7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9" formatCode="dd/mm/yyyy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 Light"/>
        <scheme val="none"/>
      </font>
      <numFmt numFmtId="164" formatCode="_-* #,##0_-;\-* #,##0_-;_-* &quot;-&quot;??_-;_-@_-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4" formatCode="_-* #,##0_-;\-* #,##0_-;_-* &quot;-&quot;??_-;_-@_-"/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numFmt numFmtId="165" formatCode="[$-40C]mmm\-yy;@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3" displayName="Tableau3" ref="B2:B15" headerRowDxfId="118" dataDxfId="116" totalsRowDxfId="115" headerRowBorderDxfId="117">
  <autoFilter ref="B2:B15" xr:uid="{00000000-0009-0000-0100-000001000000}"/>
  <tableColumns count="1">
    <tableColumn id="1" xr3:uid="{00000000-0010-0000-0000-000001000000}" name="PERIODE" totalsRowFunction="count" dataDxfId="114" totalsRowDxfId="113"/>
  </tableColumns>
  <tableStyleInfo name="TableStyleLight11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4F171EF-D4F4-417E-9BA9-B33F904F6BD4}" name="Tableau245657348910" displayName="Tableau245657348910" ref="B5:H40" headerRowDxfId="112" dataDxfId="110" headerRowBorderDxfId="111" tableBorderDxfId="109" totalsRowBorderDxfId="108" headerRowCellStyle="Milliers" dataCellStyle="Milliers">
  <autoFilter ref="B5:H40" xr:uid="{1FB4317D-7AA5-4B8B-849C-D3C9103B0AC3}"/>
  <tableColumns count="7">
    <tableColumn id="1" xr3:uid="{9A926F12-B3FC-42A5-B43D-31B5FC2509E2}" name="N°" totalsRowLabel="Total" dataDxfId="107" totalsRowDxfId="106" dataCellStyle="Milliers"/>
    <tableColumn id="2" xr3:uid="{E171F0C8-AB50-4E52-80DA-E224307B53C0}" name="NOM ET PRENOMS" dataDxfId="105" totalsRowDxfId="104" dataCellStyle="Milliers"/>
    <tableColumn id="3" xr3:uid="{64E6188C-6B59-4AA1-A1C9-49A886A178AD}" name="QUALIFICATIONS" dataDxfId="103" totalsRowDxfId="102" dataCellStyle="Milliers"/>
    <tableColumn id="7" xr3:uid="{271B6844-FAFE-40B1-9DF2-08BA94EE7907}" name="DATE D'EMBAUCHAGE" dataDxfId="101" totalsRowDxfId="100" dataCellStyle="Milliers"/>
    <tableColumn id="4" xr3:uid="{6471429F-AF30-4851-937F-96D820C1150D}" name="NUMERO IFU" dataDxfId="99" totalsRowDxfId="98" dataCellStyle="Milliers"/>
    <tableColumn id="5" xr3:uid="{B6286B41-99AB-466B-BE95-7E2E77268D4F}" name="REMUNERATION BRUTE" dataDxfId="97" totalsRowDxfId="96" dataCellStyle="Milliers"/>
    <tableColumn id="6" xr3:uid="{C895C13F-F926-4993-84AA-D778183B426A}" name="REMUNERATION NETTE" totalsRowFunction="sum" dataDxfId="95" totalsRowDxfId="94" dataCellStyle="Milliers">
      <calculatedColumnFormula>+Tableau245657348910[[#This Row],[REMUNERATION BRUTE]]*1%</calculatedColumnFormula>
    </tableColumn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D4264B6-B23C-47A7-8573-A843941106EE}" name="Tableau2456573483457810610121314151416427" displayName="Tableau2456573483457810610121314151416427" ref="B5:G21" totalsRowShown="0" headerRowDxfId="93" dataDxfId="91" headerRowBorderDxfId="92" tableBorderDxfId="90" totalsRowBorderDxfId="89" headerRowCellStyle="Milliers" dataCellStyle="Milliers">
  <autoFilter ref="B5:G21" xr:uid="{0004A3C7-82E3-4358-8C44-7208EE53C98F}"/>
  <tableColumns count="6">
    <tableColumn id="1" xr3:uid="{C3C2974A-5989-4665-8B55-47FD152DA670}" name="N°" dataDxfId="88" totalsRowDxfId="87" dataCellStyle="Milliers"/>
    <tableColumn id="2" xr3:uid="{C921A17D-F6A1-4729-9865-83563CD7DCE2}" name="NOM ET PRENOMS" dataDxfId="86" totalsRowDxfId="85" dataCellStyle="Milliers"/>
    <tableColumn id="3" xr3:uid="{98EA535F-0F57-49F5-900E-4C3C1D39742F}" name="QUALIFICATIONS" dataDxfId="84" totalsRowDxfId="83" dataCellStyle="Milliers"/>
    <tableColumn id="7" xr3:uid="{A7A30DED-187E-4049-B5BE-CFF3D75F7FEC}" name="DATE D'EMBAUCHAGE" dataDxfId="82" totalsRowDxfId="81" dataCellStyle="Milliers"/>
    <tableColumn id="4" xr3:uid="{FA6E98D5-8AD9-47B7-9547-CF71D26AB072}" name="NUMERO IFU" dataDxfId="80" totalsRowDxfId="79" dataCellStyle="Milliers"/>
    <tableColumn id="5" xr3:uid="{B6FB1D92-0B97-48F2-9B59-90764437E9C7}" name="DATE D'AVIS  D'EMBAUCHAGE" dataDxfId="78" dataCellStyle="Millier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34797C5-2D0B-42D3-9C09-E3BE8B706178}" name="Tableau2456573483457810610121314151416174568911" displayName="Tableau2456573483457810610121314151416174568911" ref="B5:R43" totalsRowCount="1" headerRowDxfId="77" dataDxfId="75" headerRowBorderDxfId="76" tableBorderDxfId="74" totalsRowBorderDxfId="73" headerRowCellStyle="Milliers" dataCellStyle="Milliers">
  <autoFilter ref="B5:R42" xr:uid="{7D8A0D1A-D40B-4264-9420-AD7F02560D39}"/>
  <tableColumns count="17">
    <tableColumn id="1" xr3:uid="{A9134E2C-18F5-4A5B-8D9B-F08D07C41826}" name="N°" totalsRowLabel="Total" dataDxfId="72" totalsRowDxfId="71" dataCellStyle="Milliers"/>
    <tableColumn id="2" xr3:uid="{70362A96-00EE-401C-9A11-6B0083BB74D2}" name="NOM ET PRENOMS" dataDxfId="70" totalsRowDxfId="69" dataCellStyle="Milliers"/>
    <tableColumn id="3" xr3:uid="{6C880618-3D34-47F3-BBC1-D89D428F2CEF}" name="QUALIFICATIONS" dataDxfId="68" totalsRowDxfId="67" dataCellStyle="Milliers"/>
    <tableColumn id="7" xr3:uid="{426A084F-3CF6-46C9-AC61-438ADE344A9A}" name="DATE D'EMBAUCHAGE" dataDxfId="66" totalsRowDxfId="65" dataCellStyle="Milliers"/>
    <tableColumn id="4" xr3:uid="{8BEFA807-FC46-4E92-B864-9FDDDF2CED8E}" name="NUMERO IFU" dataDxfId="64" totalsRowDxfId="63" dataCellStyle="Milliers"/>
    <tableColumn id="5" xr3:uid="{2C5D680B-0E6F-4F59-8CB9-A47C7CE60555}" name="REMUNERATION BRUTE" totalsRowFunction="sum" dataDxfId="62" totalsRowDxfId="61" dataCellStyle="Milliers"/>
    <tableColumn id="11" xr3:uid="{FFD82D15-A713-4A5F-B0AB-2FCDC82C0E96}" name="CHANTIERS" totalsRowFunction="sum" dataDxfId="60" totalsRowDxfId="59"/>
    <tableColumn id="13" xr3:uid="{743C543C-EB7F-43AE-92B8-BBD4F577FE5B}" name="INDEMNITE D'ELOIGNEMENT" totalsRowFunction="sum" dataDxfId="58" totalsRowDxfId="57" dataCellStyle="Milliers"/>
    <tableColumn id="9" xr3:uid="{CA6F6431-6D95-419D-8449-914504ADE398}" name="PRIME DEROGATOIRE" totalsRowFunction="sum" dataDxfId="56" totalsRowDxfId="55"/>
    <tableColumn id="17" xr3:uid="{3D2B3E21-400E-4EB6-BEC2-7FCF56C480BB}" name="INDEMNITE DE CONGES" totalsRowFunction="sum" dataDxfId="54" totalsRowDxfId="53" dataCellStyle="Milliers"/>
    <tableColumn id="8" xr3:uid="{D9C1312F-AA8A-44DD-95C7-1D7F6FCAAE81}" name="LOGEMENT" totalsRowFunction="sum" dataDxfId="52" totalsRowDxfId="51"/>
    <tableColumn id="15" xr3:uid="{6DA45718-75F4-4917-8EDB-A572E34815EC}" name="PRIME DE LICENCIEMENT" totalsRowFunction="sum" dataDxfId="50" totalsRowDxfId="49" dataCellStyle="Milliers"/>
    <tableColumn id="12" xr3:uid="{73AA790F-E5ED-4F70-B065-F2592D89C1C4}" name="PRIME EXCEPTIONNELLE" totalsRowFunction="sum" dataDxfId="48" totalsRowDxfId="47" dataCellStyle="Milliers"/>
    <tableColumn id="10" xr3:uid="{E736F1F0-66AC-46C6-9CB8-50F348744D3A}" name="SALAIRE DE BASE" dataDxfId="46" totalsRowDxfId="45">
      <calculatedColumnFormula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calculatedColumnFormula>
    </tableColumn>
    <tableColumn id="16" xr3:uid="{69B4D76A-F796-4452-84C5-6956E2BDA83F}" name=" RETENUS ORTB" totalsRowFunction="sum" dataDxfId="44" totalsRowDxfId="43" dataCellStyle="Milliers"/>
    <tableColumn id="6" xr3:uid="{98000BD3-4DEC-427A-95C6-471188ACA84D}" name="REMUNERATION NETTE" totalsRowFunction="sum" dataDxfId="42" totalsRowDxfId="41" dataCellStyle="Milliers">
      <calculatedColumnFormula>+Tableau2456573483457810610121314151416174568911[[#This Row],[REMUNERATION BRUTE]]-S6-W6-Y6-Tableau2456573483457810610121314151416174568911[[#This Row],[ RETENUS ORTB]]</calculatedColumnFormula>
    </tableColumn>
    <tableColumn id="14" xr3:uid="{9BF77E8D-41C9-480E-8925-F1CC5338F9FB}" name="ITS" dataDxfId="40" totalsRowDxfId="39" dataCellStyle="Milliers">
      <calculatedColumnFormula>(60000-0)*0%+(150000-60000)*10%+(250000-150000)*15%+(421000-250000)*19%</calculatedColumnFormula>
    </tableColumn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3E89863-D1CD-4576-A73D-8BAC47AF344F}" name="Tableau2456573483457810610121314151416174568912" displayName="Tableau2456573483457810610121314151416174568912" ref="B5:R43" totalsRowCount="1" headerRowDxfId="38" dataDxfId="36" headerRowBorderDxfId="37" tableBorderDxfId="35" totalsRowBorderDxfId="34" headerRowCellStyle="Milliers" dataCellStyle="Milliers">
  <autoFilter ref="B5:R42" xr:uid="{7D8A0D1A-D40B-4264-9420-AD7F02560D39}"/>
  <tableColumns count="17">
    <tableColumn id="1" xr3:uid="{6B6CC922-FEA4-4B8B-B182-E586C01A68F8}" name="N°" totalsRowLabel="Total" dataDxfId="33" totalsRowDxfId="16" dataCellStyle="Milliers"/>
    <tableColumn id="2" xr3:uid="{03158C5C-12BE-4A33-8E80-4A82EEE2EAE2}" name="NOM ET PRENOMS" dataDxfId="32" totalsRowDxfId="15" dataCellStyle="Milliers"/>
    <tableColumn id="3" xr3:uid="{97C4EEF9-8358-444E-ACEA-7EBD5DF4E777}" name="QUALIFICATIONS" dataDxfId="31" totalsRowDxfId="14" dataCellStyle="Milliers"/>
    <tableColumn id="7" xr3:uid="{BDB572E3-1DE9-4B9F-9E11-62D561A3A178}" name="DATE D'EMBAUCHAGE" dataDxfId="30" totalsRowDxfId="13" dataCellStyle="Milliers"/>
    <tableColumn id="4" xr3:uid="{594CD35E-10F3-4D53-AA1C-E70D6ACDD01F}" name="NUMERO IFU" dataDxfId="29" totalsRowDxfId="12" dataCellStyle="Milliers"/>
    <tableColumn id="5" xr3:uid="{A00FCBB6-70EB-4CCD-BAC5-C5E7DEEE2D6B}" name="REMUNERATION BRUTE" dataDxfId="28" totalsRowDxfId="11" dataCellStyle="Milliers"/>
    <tableColumn id="11" xr3:uid="{14B40669-1134-4512-91B8-78C8C319D5F5}" name="CHANTIERS" dataDxfId="27" totalsRowDxfId="10"/>
    <tableColumn id="13" xr3:uid="{CF3AAA01-757C-48BF-A709-3730249B5A02}" name="INDEMNITE D'ELOIGNEMENT" dataDxfId="26" totalsRowDxfId="9" dataCellStyle="Milliers"/>
    <tableColumn id="9" xr3:uid="{F5166DBD-2189-48AD-B316-E81FEE208AF0}" name="PRIME DEROGATOIRE" dataDxfId="25" totalsRowDxfId="8"/>
    <tableColumn id="17" xr3:uid="{280A1BEF-823D-4BEE-B6D1-D42A4A8A89F0}" name="INDEMNITE DE CONGES" dataDxfId="24" totalsRowDxfId="7" dataCellStyle="Milliers"/>
    <tableColumn id="8" xr3:uid="{03FD9519-8077-4619-8FAA-81186EDCAFE1}" name="LOGEMENT" dataDxfId="23" totalsRowDxfId="6"/>
    <tableColumn id="15" xr3:uid="{C62B30D2-EE8C-4CE9-9189-35696EC09693}" name="PRIME DE LICENCIEMENT" dataDxfId="22" totalsRowDxfId="5" dataCellStyle="Milliers"/>
    <tableColumn id="12" xr3:uid="{9223366E-3CCB-4946-985A-0206BAD4B0ED}" name="PRIME EXCEPTIONNELLE" dataDxfId="21" totalsRowDxfId="4" dataCellStyle="Milliers"/>
    <tableColumn id="10" xr3:uid="{81E3A7ED-7948-46B6-83EB-6EB3F3EF4F86}" name="SALAIRE DE BASE" dataDxfId="20" totalsRowDxfId="3"/>
    <tableColumn id="16" xr3:uid="{1ACA5A3E-B08A-4844-8694-5881C3450163}" name=" RETENUS ORTB" dataDxfId="19" totalsRowDxfId="2" dataCellStyle="Milliers"/>
    <tableColumn id="6" xr3:uid="{078F79B8-86E6-4956-834B-96F8378EA803}" name="REMUNERATION NETTE" dataDxfId="18" totalsRowDxfId="1" dataCellStyle="Milliers"/>
    <tableColumn id="14" xr3:uid="{92903067-422D-4A46-BEC5-B080970DD011}" name="ITS" dataDxfId="17" totalsRowDxfId="0" dataCellStyle="Millier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5"/>
  <sheetViews>
    <sheetView workbookViewId="0">
      <selection activeCell="E11" sqref="E11"/>
    </sheetView>
  </sheetViews>
  <sheetFormatPr baseColWidth="10" defaultRowHeight="15" x14ac:dyDescent="0.25"/>
  <sheetData>
    <row r="2" spans="2:2" x14ac:dyDescent="0.25">
      <c r="B2" s="4" t="s">
        <v>0</v>
      </c>
    </row>
    <row r="3" spans="2:2" x14ac:dyDescent="0.25">
      <c r="B3" s="5">
        <v>45261</v>
      </c>
    </row>
    <row r="4" spans="2:2" x14ac:dyDescent="0.25">
      <c r="B4" s="6">
        <v>45292</v>
      </c>
    </row>
    <row r="5" spans="2:2" x14ac:dyDescent="0.25">
      <c r="B5" s="6">
        <v>45323</v>
      </c>
    </row>
    <row r="6" spans="2:2" x14ac:dyDescent="0.25">
      <c r="B6" s="6">
        <v>45352</v>
      </c>
    </row>
    <row r="7" spans="2:2" x14ac:dyDescent="0.25">
      <c r="B7" s="6">
        <v>45383</v>
      </c>
    </row>
    <row r="8" spans="2:2" x14ac:dyDescent="0.25">
      <c r="B8" s="6">
        <v>45413</v>
      </c>
    </row>
    <row r="9" spans="2:2" x14ac:dyDescent="0.25">
      <c r="B9" s="6">
        <v>45444</v>
      </c>
    </row>
    <row r="10" spans="2:2" x14ac:dyDescent="0.25">
      <c r="B10" s="6">
        <v>45474</v>
      </c>
    </row>
    <row r="11" spans="2:2" x14ac:dyDescent="0.25">
      <c r="B11" s="6">
        <v>45505</v>
      </c>
    </row>
    <row r="12" spans="2:2" x14ac:dyDescent="0.25">
      <c r="B12" s="6">
        <v>45536</v>
      </c>
    </row>
    <row r="13" spans="2:2" x14ac:dyDescent="0.25">
      <c r="B13" s="6">
        <v>45566</v>
      </c>
    </row>
    <row r="14" spans="2:2" x14ac:dyDescent="0.25">
      <c r="B14" s="6">
        <v>45597</v>
      </c>
    </row>
    <row r="15" spans="2:2" x14ac:dyDescent="0.25">
      <c r="B15" s="6">
        <v>45627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8313-E80A-47BA-9A83-9722D1903DBA}">
  <dimension ref="B1:H40"/>
  <sheetViews>
    <sheetView showGridLines="0" topLeftCell="A28" workbookViewId="0">
      <selection activeCell="E42" sqref="E42"/>
    </sheetView>
  </sheetViews>
  <sheetFormatPr baseColWidth="10" defaultColWidth="9.140625" defaultRowHeight="19.5" customHeight="1" x14ac:dyDescent="0.25"/>
  <cols>
    <col min="1" max="1" width="2.7109375" style="1" customWidth="1"/>
    <col min="2" max="2" width="7" style="2" customWidth="1"/>
    <col min="3" max="3" width="34.42578125" style="2" customWidth="1"/>
    <col min="4" max="4" width="19.85546875" style="2" customWidth="1"/>
    <col min="5" max="5" width="19.140625" style="2" customWidth="1"/>
    <col min="6" max="6" width="18.28515625" style="3" customWidth="1"/>
    <col min="7" max="7" width="15.85546875" style="2" customWidth="1"/>
    <col min="8" max="8" width="15.5703125" style="2" customWidth="1"/>
    <col min="9" max="9" width="3.85546875" style="1" customWidth="1"/>
    <col min="10" max="16384" width="9.140625" style="1"/>
  </cols>
  <sheetData>
    <row r="1" spans="2:8" ht="15" x14ac:dyDescent="0.25"/>
    <row r="2" spans="2:8" ht="34.5" customHeight="1" x14ac:dyDescent="0.25">
      <c r="B2" s="160" t="s">
        <v>1</v>
      </c>
      <c r="C2" s="160"/>
      <c r="D2" s="160"/>
      <c r="E2" s="160"/>
      <c r="F2" s="160"/>
      <c r="G2" s="160"/>
      <c r="H2" s="160"/>
    </row>
    <row r="3" spans="2:8" ht="30.75" customHeight="1" x14ac:dyDescent="0.25">
      <c r="B3" s="44"/>
      <c r="C3" s="52">
        <v>45658</v>
      </c>
      <c r="D3" s="44"/>
      <c r="E3" s="44"/>
      <c r="F3" s="44"/>
      <c r="G3" s="44"/>
      <c r="H3" s="44"/>
    </row>
    <row r="4" spans="2:8" ht="15" x14ac:dyDescent="0.25"/>
    <row r="5" spans="2:8" ht="45" customHeight="1" x14ac:dyDescent="0.25">
      <c r="B5" s="7" t="s">
        <v>2</v>
      </c>
      <c r="C5" s="8" t="s">
        <v>3</v>
      </c>
      <c r="D5" s="8" t="s">
        <v>4</v>
      </c>
      <c r="E5" s="8" t="s">
        <v>5</v>
      </c>
      <c r="F5" s="9" t="s">
        <v>6</v>
      </c>
      <c r="G5" s="8" t="s">
        <v>7</v>
      </c>
      <c r="H5" s="10" t="s">
        <v>8</v>
      </c>
    </row>
    <row r="6" spans="2:8" s="22" customFormat="1" ht="21" customHeight="1" x14ac:dyDescent="0.25">
      <c r="B6" s="27">
        <v>1</v>
      </c>
      <c r="C6" s="30" t="s">
        <v>23</v>
      </c>
      <c r="D6" s="13" t="s">
        <v>24</v>
      </c>
      <c r="E6" s="28">
        <v>45170</v>
      </c>
      <c r="F6" s="31" t="s">
        <v>25</v>
      </c>
      <c r="G6" s="13">
        <v>167583</v>
      </c>
      <c r="H6" s="29">
        <v>150000</v>
      </c>
    </row>
    <row r="7" spans="2:8" s="22" customFormat="1" ht="16.5" customHeight="1" x14ac:dyDescent="0.25">
      <c r="B7" s="27">
        <v>2</v>
      </c>
      <c r="C7" s="23" t="s">
        <v>12</v>
      </c>
      <c r="D7" s="24" t="s">
        <v>13</v>
      </c>
      <c r="E7" s="15">
        <v>45416</v>
      </c>
      <c r="F7" s="25" t="s">
        <v>14</v>
      </c>
      <c r="G7" s="24">
        <v>421670</v>
      </c>
      <c r="H7" s="26">
        <v>350000</v>
      </c>
    </row>
    <row r="8" spans="2:8" s="22" customFormat="1" ht="21" customHeight="1" x14ac:dyDescent="0.25">
      <c r="B8" s="27">
        <v>3</v>
      </c>
      <c r="C8" s="19" t="s">
        <v>18</v>
      </c>
      <c r="D8" s="14" t="s">
        <v>19</v>
      </c>
      <c r="E8" s="16">
        <v>45416</v>
      </c>
      <c r="F8" s="21">
        <v>1201500185908</v>
      </c>
      <c r="G8" s="14">
        <v>389429</v>
      </c>
      <c r="H8" s="43">
        <v>325000</v>
      </c>
    </row>
    <row r="9" spans="2:8" s="22" customFormat="1" ht="21" customHeight="1" x14ac:dyDescent="0.25">
      <c r="B9" s="27">
        <v>4</v>
      </c>
      <c r="C9" s="19" t="s">
        <v>20</v>
      </c>
      <c r="D9" s="14" t="s">
        <v>21</v>
      </c>
      <c r="E9" s="16">
        <v>45416</v>
      </c>
      <c r="F9" s="20" t="s">
        <v>22</v>
      </c>
      <c r="G9" s="14">
        <v>279575</v>
      </c>
      <c r="H9" s="43">
        <v>240000</v>
      </c>
    </row>
    <row r="10" spans="2:8" ht="19.5" customHeight="1" x14ac:dyDescent="0.25">
      <c r="B10" s="27">
        <v>5</v>
      </c>
      <c r="C10" s="19" t="s">
        <v>15</v>
      </c>
      <c r="D10" s="14" t="s">
        <v>16</v>
      </c>
      <c r="E10" s="16">
        <v>45422</v>
      </c>
      <c r="F10" s="20" t="s">
        <v>17</v>
      </c>
      <c r="G10" s="14">
        <v>376494</v>
      </c>
      <c r="H10" s="43">
        <v>315000</v>
      </c>
    </row>
    <row r="11" spans="2:8" ht="19.5" customHeight="1" x14ac:dyDescent="0.25">
      <c r="B11" s="27">
        <v>6</v>
      </c>
      <c r="C11" s="18" t="s">
        <v>9</v>
      </c>
      <c r="D11" s="11" t="s">
        <v>10</v>
      </c>
      <c r="E11" s="12">
        <v>45425</v>
      </c>
      <c r="F11" s="17" t="s">
        <v>11</v>
      </c>
      <c r="G11" s="13">
        <v>559336</v>
      </c>
      <c r="H11" s="41">
        <v>450000</v>
      </c>
    </row>
    <row r="12" spans="2:8" ht="19.5" customHeight="1" x14ac:dyDescent="0.25">
      <c r="B12" s="27">
        <v>7</v>
      </c>
      <c r="C12" s="33" t="s">
        <v>26</v>
      </c>
      <c r="D12" s="34" t="s">
        <v>10</v>
      </c>
      <c r="E12" s="32">
        <v>45445</v>
      </c>
      <c r="F12" s="35" t="s">
        <v>27</v>
      </c>
      <c r="G12" s="13">
        <v>559336</v>
      </c>
      <c r="H12" s="41">
        <v>450000</v>
      </c>
    </row>
    <row r="13" spans="2:8" s="22" customFormat="1" ht="19.5" customHeight="1" x14ac:dyDescent="0.25">
      <c r="B13" s="27">
        <v>8</v>
      </c>
      <c r="C13" s="33" t="s">
        <v>28</v>
      </c>
      <c r="D13" s="34" t="s">
        <v>24</v>
      </c>
      <c r="E13" s="32">
        <v>45481</v>
      </c>
      <c r="F13" s="35" t="s">
        <v>29</v>
      </c>
      <c r="G13" s="34">
        <v>167583</v>
      </c>
      <c r="H13" s="37">
        <v>150000</v>
      </c>
    </row>
    <row r="14" spans="2:8" s="22" customFormat="1" ht="19.5" customHeight="1" x14ac:dyDescent="0.25">
      <c r="B14" s="27">
        <v>9</v>
      </c>
      <c r="C14" s="38" t="s">
        <v>30</v>
      </c>
      <c r="D14" s="39" t="s">
        <v>55</v>
      </c>
      <c r="E14" s="36">
        <v>45566</v>
      </c>
      <c r="F14" s="17" t="s">
        <v>78</v>
      </c>
      <c r="G14" s="39">
        <v>74066</v>
      </c>
      <c r="H14" s="40">
        <v>69999.623999999996</v>
      </c>
    </row>
    <row r="15" spans="2:8" s="22" customFormat="1" ht="19.5" customHeight="1" x14ac:dyDescent="0.25">
      <c r="B15" s="27">
        <v>10</v>
      </c>
      <c r="C15" s="18" t="s">
        <v>31</v>
      </c>
      <c r="D15" s="34" t="s">
        <v>24</v>
      </c>
      <c r="E15" s="36">
        <v>45566</v>
      </c>
      <c r="F15" s="31" t="s">
        <v>67</v>
      </c>
      <c r="G15" s="11">
        <v>127697</v>
      </c>
      <c r="H15" s="41">
        <v>116399.908</v>
      </c>
    </row>
    <row r="16" spans="2:8" s="22" customFormat="1" ht="19.5" customHeight="1" x14ac:dyDescent="0.25">
      <c r="B16" s="27">
        <v>11</v>
      </c>
      <c r="C16" s="18" t="s">
        <v>50</v>
      </c>
      <c r="D16" s="34" t="s">
        <v>24</v>
      </c>
      <c r="E16" s="36">
        <v>45566</v>
      </c>
      <c r="F16" s="31" t="s">
        <v>65</v>
      </c>
      <c r="G16" s="11">
        <v>127697</v>
      </c>
      <c r="H16" s="41">
        <v>116399.908</v>
      </c>
    </row>
    <row r="17" spans="2:8" s="22" customFormat="1" ht="19.5" customHeight="1" x14ac:dyDescent="0.25">
      <c r="B17" s="27">
        <v>12</v>
      </c>
      <c r="C17" s="18" t="s">
        <v>51</v>
      </c>
      <c r="D17" s="39" t="s">
        <v>55</v>
      </c>
      <c r="E17" s="36">
        <v>45566</v>
      </c>
      <c r="F17" s="31" t="s">
        <v>70</v>
      </c>
      <c r="G17" s="11">
        <v>53942</v>
      </c>
      <c r="H17" s="41">
        <v>52000.088000000003</v>
      </c>
    </row>
    <row r="18" spans="2:8" s="22" customFormat="1" ht="19.5" customHeight="1" x14ac:dyDescent="0.25">
      <c r="B18" s="27">
        <v>13</v>
      </c>
      <c r="C18" s="18" t="s">
        <v>34</v>
      </c>
      <c r="D18" s="34" t="s">
        <v>24</v>
      </c>
      <c r="E18" s="36">
        <v>45566</v>
      </c>
      <c r="F18" s="31" t="s">
        <v>75</v>
      </c>
      <c r="G18" s="11">
        <v>139004</v>
      </c>
      <c r="H18" s="41">
        <v>126099.856</v>
      </c>
    </row>
    <row r="19" spans="2:8" s="22" customFormat="1" ht="19.5" customHeight="1" x14ac:dyDescent="0.25">
      <c r="B19" s="27">
        <v>14</v>
      </c>
      <c r="C19" s="18" t="s">
        <v>35</v>
      </c>
      <c r="D19" s="11" t="s">
        <v>58</v>
      </c>
      <c r="E19" s="36">
        <v>45566</v>
      </c>
      <c r="F19" s="31" t="s">
        <v>59</v>
      </c>
      <c r="G19" s="11">
        <v>612137</v>
      </c>
      <c r="H19" s="41">
        <v>485000.06799999997</v>
      </c>
    </row>
    <row r="20" spans="2:8" s="22" customFormat="1" ht="19.5" customHeight="1" x14ac:dyDescent="0.25">
      <c r="B20" s="27">
        <v>15</v>
      </c>
      <c r="C20" s="18" t="s">
        <v>36</v>
      </c>
      <c r="D20" s="34" t="s">
        <v>24</v>
      </c>
      <c r="E20" s="36">
        <v>45566</v>
      </c>
      <c r="F20" s="31" t="s">
        <v>73</v>
      </c>
      <c r="G20" s="11">
        <v>127697</v>
      </c>
      <c r="H20" s="41">
        <v>116399.908</v>
      </c>
    </row>
    <row r="21" spans="2:8" s="22" customFormat="1" ht="19.5" customHeight="1" x14ac:dyDescent="0.25">
      <c r="B21" s="27">
        <v>16</v>
      </c>
      <c r="C21" s="18" t="s">
        <v>37</v>
      </c>
      <c r="D21" s="34" t="s">
        <v>10</v>
      </c>
      <c r="E21" s="36">
        <v>45566</v>
      </c>
      <c r="F21" s="42">
        <v>1201502945809</v>
      </c>
      <c r="G21" s="11">
        <v>470747</v>
      </c>
      <c r="H21" s="41">
        <v>388000.10800000001</v>
      </c>
    </row>
    <row r="22" spans="2:8" s="22" customFormat="1" ht="19.5" customHeight="1" x14ac:dyDescent="0.25">
      <c r="B22" s="27">
        <v>17</v>
      </c>
      <c r="C22" s="18" t="s">
        <v>38</v>
      </c>
      <c r="D22" s="34" t="s">
        <v>24</v>
      </c>
      <c r="E22" s="36">
        <v>45566</v>
      </c>
      <c r="F22" s="31" t="s">
        <v>71</v>
      </c>
      <c r="G22" s="11">
        <v>127697</v>
      </c>
      <c r="H22" s="41">
        <v>116399.908</v>
      </c>
    </row>
    <row r="23" spans="2:8" s="22" customFormat="1" ht="19.5" customHeight="1" x14ac:dyDescent="0.25">
      <c r="B23" s="27">
        <v>18</v>
      </c>
      <c r="C23" s="18" t="s">
        <v>39</v>
      </c>
      <c r="D23" s="34" t="s">
        <v>24</v>
      </c>
      <c r="E23" s="36">
        <v>45566</v>
      </c>
      <c r="F23" s="31" t="s">
        <v>68</v>
      </c>
      <c r="G23" s="11">
        <v>127697</v>
      </c>
      <c r="H23" s="41">
        <v>116399.908</v>
      </c>
    </row>
    <row r="24" spans="2:8" s="22" customFormat="1" ht="19.5" customHeight="1" x14ac:dyDescent="0.25">
      <c r="B24" s="27">
        <v>19</v>
      </c>
      <c r="C24" s="18" t="s">
        <v>40</v>
      </c>
      <c r="D24" s="34" t="s">
        <v>24</v>
      </c>
      <c r="E24" s="36">
        <v>45566</v>
      </c>
      <c r="F24" s="31" t="s">
        <v>72</v>
      </c>
      <c r="G24" s="11">
        <v>127697</v>
      </c>
      <c r="H24" s="41">
        <v>116399.908</v>
      </c>
    </row>
    <row r="25" spans="2:8" s="22" customFormat="1" ht="19.5" customHeight="1" x14ac:dyDescent="0.25">
      <c r="B25" s="27">
        <v>20</v>
      </c>
      <c r="C25" s="18" t="s">
        <v>41</v>
      </c>
      <c r="D25" s="34" t="s">
        <v>24</v>
      </c>
      <c r="E25" s="36">
        <v>45566</v>
      </c>
      <c r="F25" s="31" t="s">
        <v>77</v>
      </c>
      <c r="G25" s="11">
        <v>127697</v>
      </c>
      <c r="H25" s="41">
        <v>116399.908</v>
      </c>
    </row>
    <row r="26" spans="2:8" s="22" customFormat="1" ht="19.5" customHeight="1" x14ac:dyDescent="0.25">
      <c r="B26" s="27">
        <v>21</v>
      </c>
      <c r="C26" s="18" t="s">
        <v>52</v>
      </c>
      <c r="D26" s="34" t="s">
        <v>24</v>
      </c>
      <c r="E26" s="36">
        <v>45566</v>
      </c>
      <c r="F26" s="31" t="s">
        <v>64</v>
      </c>
      <c r="G26" s="11">
        <v>127697</v>
      </c>
      <c r="H26" s="41">
        <v>116399.908</v>
      </c>
    </row>
    <row r="27" spans="2:8" s="22" customFormat="1" ht="19.5" customHeight="1" x14ac:dyDescent="0.25">
      <c r="B27" s="27">
        <v>22</v>
      </c>
      <c r="C27" s="18" t="s">
        <v>53</v>
      </c>
      <c r="D27" s="11" t="s">
        <v>56</v>
      </c>
      <c r="E27" s="36">
        <v>45566</v>
      </c>
      <c r="F27" s="31" t="s">
        <v>76</v>
      </c>
      <c r="G27" s="11">
        <v>127697</v>
      </c>
      <c r="H27" s="41">
        <v>116399.908</v>
      </c>
    </row>
    <row r="28" spans="2:8" s="22" customFormat="1" ht="19.5" customHeight="1" x14ac:dyDescent="0.25">
      <c r="B28" s="27">
        <v>23</v>
      </c>
      <c r="C28" s="18" t="s">
        <v>42</v>
      </c>
      <c r="D28" s="34" t="s">
        <v>10</v>
      </c>
      <c r="E28" s="36">
        <v>45566</v>
      </c>
      <c r="F28" s="31" t="s">
        <v>63</v>
      </c>
      <c r="G28" s="11">
        <v>470747</v>
      </c>
      <c r="H28" s="41">
        <v>388000.10800000001</v>
      </c>
    </row>
    <row r="29" spans="2:8" s="22" customFormat="1" ht="19.5" customHeight="1" x14ac:dyDescent="0.25">
      <c r="B29" s="27">
        <v>24</v>
      </c>
      <c r="C29" s="18" t="s">
        <v>44</v>
      </c>
      <c r="D29" s="39" t="s">
        <v>24</v>
      </c>
      <c r="E29" s="36">
        <v>45566</v>
      </c>
      <c r="F29" s="31" t="s">
        <v>66</v>
      </c>
      <c r="G29" s="11">
        <v>127697</v>
      </c>
      <c r="H29" s="41">
        <v>116399.908</v>
      </c>
    </row>
    <row r="30" spans="2:8" s="22" customFormat="1" ht="19.5" customHeight="1" x14ac:dyDescent="0.25">
      <c r="B30" s="27">
        <v>25</v>
      </c>
      <c r="C30" s="18" t="s">
        <v>45</v>
      </c>
      <c r="D30" s="34" t="s">
        <v>10</v>
      </c>
      <c r="E30" s="36">
        <v>45566</v>
      </c>
      <c r="F30" s="42">
        <v>1201407764405</v>
      </c>
      <c r="G30" s="11">
        <v>470747</v>
      </c>
      <c r="H30" s="41">
        <v>388000.10800000001</v>
      </c>
    </row>
    <row r="31" spans="2:8" s="22" customFormat="1" ht="19.5" customHeight="1" x14ac:dyDescent="0.25">
      <c r="B31" s="27">
        <v>26</v>
      </c>
      <c r="C31" s="18" t="s">
        <v>54</v>
      </c>
      <c r="D31" s="11" t="s">
        <v>57</v>
      </c>
      <c r="E31" s="36">
        <v>45566</v>
      </c>
      <c r="F31" s="31" t="s">
        <v>69</v>
      </c>
      <c r="G31" s="11">
        <v>97199</v>
      </c>
      <c r="H31" s="41">
        <v>89999.835999999996</v>
      </c>
    </row>
    <row r="32" spans="2:8" s="22" customFormat="1" ht="19.5" customHeight="1" x14ac:dyDescent="0.25">
      <c r="B32" s="27">
        <v>27</v>
      </c>
      <c r="C32" s="18" t="s">
        <v>47</v>
      </c>
      <c r="D32" s="34" t="s">
        <v>10</v>
      </c>
      <c r="E32" s="36">
        <v>45566</v>
      </c>
      <c r="F32" s="31" t="s">
        <v>62</v>
      </c>
      <c r="G32" s="11">
        <v>470747</v>
      </c>
      <c r="H32" s="41">
        <v>388000.10800000001</v>
      </c>
    </row>
    <row r="33" spans="2:8" s="22" customFormat="1" ht="19.5" customHeight="1" x14ac:dyDescent="0.25">
      <c r="B33" s="27">
        <v>28</v>
      </c>
      <c r="C33" s="18" t="s">
        <v>48</v>
      </c>
      <c r="D33" s="11" t="s">
        <v>24</v>
      </c>
      <c r="E33" s="36">
        <v>45566</v>
      </c>
      <c r="F33" s="31" t="s">
        <v>79</v>
      </c>
      <c r="G33" s="11">
        <v>127697</v>
      </c>
      <c r="H33" s="41">
        <v>116399.908</v>
      </c>
    </row>
    <row r="34" spans="2:8" s="22" customFormat="1" ht="19.5" customHeight="1" x14ac:dyDescent="0.25">
      <c r="B34" s="27">
        <v>29</v>
      </c>
      <c r="C34" s="18" t="s">
        <v>49</v>
      </c>
      <c r="D34" s="11" t="s">
        <v>24</v>
      </c>
      <c r="E34" s="36">
        <v>45566</v>
      </c>
      <c r="F34" s="31" t="s">
        <v>74</v>
      </c>
      <c r="G34" s="11">
        <v>127697</v>
      </c>
      <c r="H34" s="41">
        <v>116399.908</v>
      </c>
    </row>
    <row r="35" spans="2:8" s="22" customFormat="1" ht="19.5" customHeight="1" x14ac:dyDescent="0.25">
      <c r="B35" s="27">
        <v>30</v>
      </c>
      <c r="C35" s="18" t="s">
        <v>43</v>
      </c>
      <c r="D35" s="34" t="s">
        <v>10</v>
      </c>
      <c r="E35" s="36">
        <v>45566</v>
      </c>
      <c r="F35" s="31" t="s">
        <v>61</v>
      </c>
      <c r="G35" s="11">
        <v>831224</v>
      </c>
      <c r="H35" s="41">
        <v>630499.93599999999</v>
      </c>
    </row>
    <row r="36" spans="2:8" s="22" customFormat="1" ht="19.5" customHeight="1" x14ac:dyDescent="0.25">
      <c r="B36" s="27">
        <v>31</v>
      </c>
      <c r="C36" s="18" t="s">
        <v>32</v>
      </c>
      <c r="D36" s="34" t="s">
        <v>10</v>
      </c>
      <c r="E36" s="36">
        <v>45566</v>
      </c>
      <c r="F36" s="42">
        <v>1201643454202</v>
      </c>
      <c r="G36" s="11">
        <v>559336</v>
      </c>
      <c r="H36" s="41">
        <v>449999.90399999998</v>
      </c>
    </row>
    <row r="37" spans="2:8" s="22" customFormat="1" ht="19.5" customHeight="1" x14ac:dyDescent="0.25">
      <c r="B37" s="27">
        <v>32</v>
      </c>
      <c r="C37" s="18" t="s">
        <v>33</v>
      </c>
      <c r="D37" s="34" t="s">
        <v>10</v>
      </c>
      <c r="E37" s="12">
        <v>45569</v>
      </c>
      <c r="F37" s="31" t="s">
        <v>60</v>
      </c>
      <c r="G37" s="11">
        <v>559336</v>
      </c>
      <c r="H37" s="41">
        <v>449999.90399999998</v>
      </c>
    </row>
    <row r="38" spans="2:8" ht="19.5" customHeight="1" x14ac:dyDescent="0.25">
      <c r="B38" s="45">
        <v>33</v>
      </c>
      <c r="C38" s="38" t="s">
        <v>46</v>
      </c>
      <c r="D38" s="34" t="s">
        <v>10</v>
      </c>
      <c r="E38" s="36">
        <v>45569</v>
      </c>
      <c r="F38" s="46" t="s">
        <v>80</v>
      </c>
      <c r="G38" s="39">
        <v>559336</v>
      </c>
      <c r="H38" s="40">
        <v>449999.90399999998</v>
      </c>
    </row>
    <row r="39" spans="2:8" ht="19.5" customHeight="1" x14ac:dyDescent="0.25">
      <c r="B39" s="27">
        <v>34</v>
      </c>
      <c r="C39" s="51" t="s">
        <v>81</v>
      </c>
      <c r="D39" s="50" t="s">
        <v>21</v>
      </c>
      <c r="E39" s="48">
        <v>45638</v>
      </c>
      <c r="F39" s="49"/>
      <c r="G39" s="47">
        <v>167583</v>
      </c>
      <c r="H39" s="53">
        <v>150000</v>
      </c>
    </row>
    <row r="40" spans="2:8" ht="19.5" customHeight="1" x14ac:dyDescent="0.25">
      <c r="B40" s="27">
        <v>35</v>
      </c>
      <c r="C40" s="18" t="s">
        <v>89</v>
      </c>
      <c r="D40" s="11" t="s">
        <v>10</v>
      </c>
      <c r="E40" s="48"/>
      <c r="F40" s="54"/>
      <c r="G40" s="55">
        <v>279668</v>
      </c>
      <c r="H40" s="56">
        <v>240090</v>
      </c>
    </row>
  </sheetData>
  <mergeCells count="1">
    <mergeCell ref="B2:H2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7835-ACF0-42B0-A01F-AA6C07D07227}">
  <sheetPr>
    <tabColor rgb="FF00B0F0"/>
    <pageSetUpPr fitToPage="1"/>
  </sheetPr>
  <dimension ref="A1:I21"/>
  <sheetViews>
    <sheetView showGridLines="0" topLeftCell="A14" zoomScale="90" zoomScaleNormal="90" workbookViewId="0">
      <selection activeCell="C28" sqref="C28"/>
    </sheetView>
  </sheetViews>
  <sheetFormatPr baseColWidth="10" defaultColWidth="9.140625" defaultRowHeight="15" x14ac:dyDescent="0.25"/>
  <cols>
    <col min="1" max="1" width="17.28515625" style="1" customWidth="1"/>
    <col min="2" max="5" width="22.5703125" style="2" customWidth="1"/>
    <col min="6" max="7" width="22.5703125" style="3" customWidth="1"/>
    <col min="8" max="9" width="22.5703125" style="1" customWidth="1"/>
    <col min="10" max="16384" width="9.140625" style="1"/>
  </cols>
  <sheetData>
    <row r="1" spans="1:9" ht="25.15" customHeight="1" x14ac:dyDescent="0.25"/>
    <row r="2" spans="1:9" ht="33.6" customHeight="1" x14ac:dyDescent="0.25">
      <c r="B2" s="161" t="s">
        <v>123</v>
      </c>
      <c r="C2" s="161"/>
      <c r="D2" s="161"/>
      <c r="E2" s="161"/>
      <c r="F2" s="161"/>
      <c r="G2" s="161"/>
      <c r="H2" s="161"/>
      <c r="I2" s="161"/>
    </row>
    <row r="3" spans="1:9" ht="19.899999999999999" customHeight="1" x14ac:dyDescent="0.25">
      <c r="B3" s="162"/>
      <c r="C3" s="162"/>
    </row>
    <row r="4" spans="1:9" ht="21.6" customHeight="1" x14ac:dyDescent="0.25"/>
    <row r="5" spans="1:9" s="79" customFormat="1" ht="45.6" customHeight="1" x14ac:dyDescent="0.25">
      <c r="B5" s="136" t="s">
        <v>2</v>
      </c>
      <c r="C5" s="137" t="s">
        <v>3</v>
      </c>
      <c r="D5" s="138" t="s">
        <v>4</v>
      </c>
      <c r="E5" s="138" t="s">
        <v>5</v>
      </c>
      <c r="F5" s="139" t="s">
        <v>6</v>
      </c>
      <c r="G5" s="138" t="s">
        <v>124</v>
      </c>
      <c r="H5" s="140" t="s">
        <v>94</v>
      </c>
      <c r="I5" s="141" t="s">
        <v>125</v>
      </c>
    </row>
    <row r="6" spans="1:9" s="22" customFormat="1" ht="45.6" customHeight="1" x14ac:dyDescent="0.25">
      <c r="B6" s="142">
        <v>1</v>
      </c>
      <c r="C6" s="38" t="s">
        <v>30</v>
      </c>
      <c r="D6" s="39" t="s">
        <v>55</v>
      </c>
      <c r="E6" s="36">
        <v>45566</v>
      </c>
      <c r="F6" s="17" t="s">
        <v>78</v>
      </c>
      <c r="G6" s="143">
        <v>45572</v>
      </c>
      <c r="H6" s="74" t="s">
        <v>92</v>
      </c>
      <c r="I6" s="144" t="s">
        <v>126</v>
      </c>
    </row>
    <row r="7" spans="1:9" s="22" customFormat="1" ht="45.6" customHeight="1" x14ac:dyDescent="0.25">
      <c r="B7" s="142">
        <v>2</v>
      </c>
      <c r="C7" s="18" t="s">
        <v>51</v>
      </c>
      <c r="D7" s="39" t="s">
        <v>55</v>
      </c>
      <c r="E7" s="36">
        <v>45566</v>
      </c>
      <c r="F7" s="31" t="s">
        <v>70</v>
      </c>
      <c r="G7" s="143">
        <v>45572</v>
      </c>
      <c r="H7" s="74" t="s">
        <v>92</v>
      </c>
      <c r="I7" s="144" t="s">
        <v>126</v>
      </c>
    </row>
    <row r="8" spans="1:9" s="22" customFormat="1" ht="45.6" customHeight="1" x14ac:dyDescent="0.25">
      <c r="B8" s="142">
        <v>3</v>
      </c>
      <c r="C8" s="18" t="s">
        <v>34</v>
      </c>
      <c r="D8" s="39" t="s">
        <v>24</v>
      </c>
      <c r="E8" s="36">
        <v>45566</v>
      </c>
      <c r="F8" s="31" t="s">
        <v>75</v>
      </c>
      <c r="G8" s="143">
        <v>45572</v>
      </c>
      <c r="H8" s="74" t="s">
        <v>92</v>
      </c>
      <c r="I8" s="144" t="s">
        <v>126</v>
      </c>
    </row>
    <row r="9" spans="1:9" s="22" customFormat="1" ht="45.6" customHeight="1" x14ac:dyDescent="0.25">
      <c r="B9" s="142">
        <v>4</v>
      </c>
      <c r="C9" s="18" t="s">
        <v>36</v>
      </c>
      <c r="D9" s="39" t="s">
        <v>24</v>
      </c>
      <c r="E9" s="36">
        <v>45566</v>
      </c>
      <c r="F9" s="31" t="s">
        <v>73</v>
      </c>
      <c r="G9" s="143">
        <v>45572</v>
      </c>
      <c r="H9" s="74" t="s">
        <v>92</v>
      </c>
      <c r="I9" s="144" t="s">
        <v>126</v>
      </c>
    </row>
    <row r="10" spans="1:9" s="22" customFormat="1" ht="45.6" customHeight="1" x14ac:dyDescent="0.25">
      <c r="A10" s="22" t="s">
        <v>96</v>
      </c>
      <c r="B10" s="142">
        <v>5</v>
      </c>
      <c r="C10" s="18" t="s">
        <v>37</v>
      </c>
      <c r="D10" s="39" t="s">
        <v>10</v>
      </c>
      <c r="E10" s="36">
        <v>45566</v>
      </c>
      <c r="F10" s="42">
        <v>1201502945809</v>
      </c>
      <c r="G10" s="143">
        <v>45572</v>
      </c>
      <c r="H10" s="74" t="s">
        <v>92</v>
      </c>
      <c r="I10" s="144" t="s">
        <v>126</v>
      </c>
    </row>
    <row r="11" spans="1:9" s="22" customFormat="1" ht="45.6" customHeight="1" x14ac:dyDescent="0.25">
      <c r="B11" s="142">
        <v>6</v>
      </c>
      <c r="C11" s="18" t="s">
        <v>38</v>
      </c>
      <c r="D11" s="39" t="s">
        <v>24</v>
      </c>
      <c r="E11" s="36">
        <v>45566</v>
      </c>
      <c r="F11" s="31" t="s">
        <v>71</v>
      </c>
      <c r="G11" s="143">
        <v>45572</v>
      </c>
      <c r="H11" s="74" t="s">
        <v>92</v>
      </c>
      <c r="I11" s="144" t="s">
        <v>126</v>
      </c>
    </row>
    <row r="12" spans="1:9" s="22" customFormat="1" ht="45.6" customHeight="1" x14ac:dyDescent="0.25">
      <c r="B12" s="142">
        <v>7</v>
      </c>
      <c r="C12" s="18" t="s">
        <v>42</v>
      </c>
      <c r="D12" s="39" t="s">
        <v>10</v>
      </c>
      <c r="E12" s="36">
        <v>45566</v>
      </c>
      <c r="F12" s="31" t="s">
        <v>63</v>
      </c>
      <c r="G12" s="143">
        <v>45572</v>
      </c>
      <c r="H12" s="74" t="s">
        <v>92</v>
      </c>
      <c r="I12" s="144" t="s">
        <v>126</v>
      </c>
    </row>
    <row r="13" spans="1:9" s="22" customFormat="1" ht="45.6" customHeight="1" x14ac:dyDescent="0.25">
      <c r="B13" s="142">
        <v>8</v>
      </c>
      <c r="C13" s="18" t="s">
        <v>45</v>
      </c>
      <c r="D13" s="39" t="s">
        <v>10</v>
      </c>
      <c r="E13" s="36">
        <v>45566</v>
      </c>
      <c r="F13" s="42">
        <v>1201407764405</v>
      </c>
      <c r="G13" s="143">
        <v>45572</v>
      </c>
      <c r="H13" s="74" t="s">
        <v>92</v>
      </c>
      <c r="I13" s="144" t="s">
        <v>126</v>
      </c>
    </row>
    <row r="14" spans="1:9" s="22" customFormat="1" ht="45.6" customHeight="1" x14ac:dyDescent="0.25">
      <c r="A14" s="22" t="s">
        <v>97</v>
      </c>
      <c r="B14" s="142">
        <v>9</v>
      </c>
      <c r="C14" s="18" t="s">
        <v>48</v>
      </c>
      <c r="D14" s="11" t="s">
        <v>24</v>
      </c>
      <c r="E14" s="36">
        <v>45566</v>
      </c>
      <c r="F14" s="31" t="s">
        <v>79</v>
      </c>
      <c r="G14" s="143">
        <v>45572</v>
      </c>
      <c r="H14" s="74" t="s">
        <v>92</v>
      </c>
      <c r="I14" s="144" t="s">
        <v>126</v>
      </c>
    </row>
    <row r="15" spans="1:9" s="22" customFormat="1" ht="45.6" customHeight="1" x14ac:dyDescent="0.25">
      <c r="A15" s="22" t="s">
        <v>98</v>
      </c>
      <c r="B15" s="142">
        <v>10</v>
      </c>
      <c r="C15" s="18" t="s">
        <v>43</v>
      </c>
      <c r="D15" s="39" t="s">
        <v>10</v>
      </c>
      <c r="E15" s="36">
        <v>45566</v>
      </c>
      <c r="F15" s="31" t="s">
        <v>61</v>
      </c>
      <c r="G15" s="143">
        <v>45572</v>
      </c>
      <c r="H15" s="74" t="s">
        <v>92</v>
      </c>
      <c r="I15" s="144" t="s">
        <v>126</v>
      </c>
    </row>
    <row r="16" spans="1:9" s="22" customFormat="1" ht="45.6" customHeight="1" x14ac:dyDescent="0.25">
      <c r="B16" s="142">
        <v>11</v>
      </c>
      <c r="C16" s="18" t="s">
        <v>32</v>
      </c>
      <c r="D16" s="39" t="s">
        <v>10</v>
      </c>
      <c r="E16" s="36">
        <v>45566</v>
      </c>
      <c r="F16" s="42">
        <v>1201643454202</v>
      </c>
      <c r="G16" s="143">
        <v>45572</v>
      </c>
      <c r="H16" s="74" t="s">
        <v>92</v>
      </c>
      <c r="I16" s="144" t="s">
        <v>126</v>
      </c>
    </row>
    <row r="17" spans="1:9" s="22" customFormat="1" ht="45.6" customHeight="1" x14ac:dyDescent="0.25">
      <c r="A17" s="22" t="s">
        <v>98</v>
      </c>
      <c r="B17" s="142">
        <v>12</v>
      </c>
      <c r="C17" s="18" t="s">
        <v>88</v>
      </c>
      <c r="D17" s="11" t="s">
        <v>21</v>
      </c>
      <c r="E17" s="12">
        <v>45638</v>
      </c>
      <c r="F17" s="17" t="s">
        <v>102</v>
      </c>
      <c r="G17" s="143">
        <v>45638</v>
      </c>
      <c r="H17" s="74" t="s">
        <v>92</v>
      </c>
      <c r="I17" s="145">
        <v>46356</v>
      </c>
    </row>
    <row r="18" spans="1:9" s="22" customFormat="1" ht="45.6" customHeight="1" x14ac:dyDescent="0.25">
      <c r="B18" s="142">
        <v>13</v>
      </c>
      <c r="C18" s="18" t="s">
        <v>89</v>
      </c>
      <c r="D18" s="11" t="s">
        <v>10</v>
      </c>
      <c r="E18" s="12">
        <v>45672</v>
      </c>
      <c r="F18" s="17" t="s">
        <v>101</v>
      </c>
      <c r="G18" s="143">
        <v>45672</v>
      </c>
      <c r="H18" s="74" t="s">
        <v>92</v>
      </c>
      <c r="I18" s="146">
        <v>46388</v>
      </c>
    </row>
    <row r="19" spans="1:9" s="22" customFormat="1" ht="45.6" customHeight="1" x14ac:dyDescent="0.25">
      <c r="B19" s="142">
        <v>14</v>
      </c>
      <c r="C19" s="18" t="s">
        <v>116</v>
      </c>
      <c r="D19" s="11" t="s">
        <v>118</v>
      </c>
      <c r="E19" s="12">
        <v>45994</v>
      </c>
      <c r="F19" s="17" t="s">
        <v>117</v>
      </c>
      <c r="G19" s="143">
        <v>46013</v>
      </c>
      <c r="H19" s="74" t="s">
        <v>92</v>
      </c>
      <c r="I19" s="146">
        <v>46721</v>
      </c>
    </row>
    <row r="20" spans="1:9" ht="38.25" customHeight="1" x14ac:dyDescent="0.25">
      <c r="B20" s="142">
        <v>15</v>
      </c>
      <c r="C20" s="18" t="s">
        <v>127</v>
      </c>
      <c r="D20" s="11" t="s">
        <v>114</v>
      </c>
      <c r="E20" s="12" t="s">
        <v>128</v>
      </c>
      <c r="F20" s="17" t="s">
        <v>69</v>
      </c>
      <c r="G20" s="143">
        <v>45572</v>
      </c>
      <c r="H20" s="74" t="s">
        <v>92</v>
      </c>
      <c r="I20" s="144" t="s">
        <v>126</v>
      </c>
    </row>
    <row r="21" spans="1:9" ht="33" customHeight="1" x14ac:dyDescent="0.25">
      <c r="B21" s="147">
        <v>16</v>
      </c>
      <c r="C21" s="148" t="s">
        <v>119</v>
      </c>
      <c r="D21" s="39" t="s">
        <v>129</v>
      </c>
      <c r="E21" s="36">
        <v>46083</v>
      </c>
      <c r="F21" s="134" t="s">
        <v>121</v>
      </c>
      <c r="G21" s="149"/>
      <c r="H21" s="74" t="s">
        <v>92</v>
      </c>
      <c r="I21" s="150">
        <v>46811</v>
      </c>
    </row>
  </sheetData>
  <autoFilter ref="H5:H19" xr:uid="{072471AA-C2EF-4E7C-ACCE-EDEDEFB9655B}"/>
  <mergeCells count="2">
    <mergeCell ref="B2:I2"/>
    <mergeCell ref="B3:C3"/>
  </mergeCells>
  <pageMargins left="0.7" right="0.7" top="0.75" bottom="0.75" header="0.3" footer="0.3"/>
  <pageSetup paperSize="9" scale="5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6ED2-DD7A-4740-A756-2CA5A4AA65A6}">
  <sheetPr>
    <tabColor rgb="FFFFC000"/>
    <pageSetUpPr fitToPage="1"/>
  </sheetPr>
  <dimension ref="A1:AA49"/>
  <sheetViews>
    <sheetView showGridLines="0" zoomScale="90" zoomScaleNormal="90" workbookViewId="0">
      <pane xSplit="1" ySplit="5" topLeftCell="B12" activePane="bottomRight" state="frozen"/>
      <selection pane="topRight" activeCell="B1" sqref="B1"/>
      <selection pane="bottomLeft" activeCell="A6" sqref="A6"/>
      <selection pane="bottomRight" activeCell="H17" sqref="H17"/>
    </sheetView>
  </sheetViews>
  <sheetFormatPr baseColWidth="10" defaultColWidth="9.140625" defaultRowHeight="15" x14ac:dyDescent="0.25"/>
  <cols>
    <col min="1" max="1" width="1.7109375" style="1" customWidth="1"/>
    <col min="2" max="2" width="5" style="2" customWidth="1"/>
    <col min="3" max="3" width="27.5703125" style="2" customWidth="1"/>
    <col min="4" max="4" width="18.42578125" style="2" hidden="1" customWidth="1"/>
    <col min="5" max="5" width="13.5703125" style="2" hidden="1" customWidth="1"/>
    <col min="6" max="6" width="17" style="3" hidden="1" customWidth="1"/>
    <col min="7" max="7" width="13.42578125" style="66" customWidth="1"/>
    <col min="8" max="8" width="9" style="66" customWidth="1"/>
    <col min="9" max="9" width="9.140625" style="66" customWidth="1"/>
    <col min="10" max="11" width="10.42578125" style="66" customWidth="1"/>
    <col min="12" max="12" width="10.7109375" style="66" customWidth="1"/>
    <col min="13" max="13" width="10.42578125" style="66" hidden="1" customWidth="1"/>
    <col min="14" max="14" width="10.28515625" style="66" customWidth="1"/>
    <col min="15" max="15" width="12.28515625" style="2" customWidth="1"/>
    <col min="16" max="16" width="12.28515625" style="2" hidden="1" customWidth="1"/>
    <col min="17" max="17" width="13.7109375" style="66" customWidth="1"/>
    <col min="18" max="18" width="12.28515625" style="66" hidden="1" customWidth="1"/>
    <col min="19" max="19" width="12.7109375" style="92" customWidth="1"/>
    <col min="20" max="20" width="11.28515625" style="93" customWidth="1"/>
    <col min="21" max="21" width="12.85546875" style="94" customWidth="1"/>
    <col min="22" max="22" width="12.5703125" style="94" customWidth="1"/>
    <col min="23" max="23" width="12.28515625" style="94" customWidth="1"/>
    <col min="24" max="24" width="12.85546875" style="92" customWidth="1"/>
    <col min="25" max="25" width="12.28515625" style="92" customWidth="1"/>
    <col min="26" max="26" width="18.5703125" style="1" customWidth="1"/>
    <col min="27" max="27" width="9.7109375" style="1" customWidth="1"/>
    <col min="28" max="16384" width="9.140625" style="1"/>
  </cols>
  <sheetData>
    <row r="1" spans="1:26" ht="8.25" customHeight="1" x14ac:dyDescent="0.25"/>
    <row r="2" spans="1:26" ht="21" customHeight="1" x14ac:dyDescent="0.25">
      <c r="B2" s="160" t="s">
        <v>1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53"/>
    </row>
    <row r="3" spans="1:26" ht="19.899999999999999" customHeight="1" x14ac:dyDescent="0.25">
      <c r="B3" s="162">
        <v>46204</v>
      </c>
      <c r="C3" s="162"/>
    </row>
    <row r="4" spans="1:26" ht="8.25" customHeight="1" x14ac:dyDescent="0.25"/>
    <row r="5" spans="1:26" s="79" customFormat="1" ht="43.5" customHeight="1" x14ac:dyDescent="0.25">
      <c r="B5" s="7" t="s">
        <v>2</v>
      </c>
      <c r="C5" s="8" t="s">
        <v>3</v>
      </c>
      <c r="D5" s="68" t="s">
        <v>4</v>
      </c>
      <c r="E5" s="68" t="s">
        <v>5</v>
      </c>
      <c r="F5" s="69" t="s">
        <v>6</v>
      </c>
      <c r="G5" s="68" t="s">
        <v>7</v>
      </c>
      <c r="H5" s="70" t="s">
        <v>82</v>
      </c>
      <c r="I5" s="70" t="s">
        <v>103</v>
      </c>
      <c r="J5" s="70" t="s">
        <v>134</v>
      </c>
      <c r="K5" s="70" t="s">
        <v>136</v>
      </c>
      <c r="L5" s="70" t="s">
        <v>83</v>
      </c>
      <c r="M5" s="70" t="s">
        <v>113</v>
      </c>
      <c r="N5" s="70" t="s">
        <v>133</v>
      </c>
      <c r="O5" s="70" t="s">
        <v>84</v>
      </c>
      <c r="P5" s="70" t="s">
        <v>130</v>
      </c>
      <c r="Q5" s="70" t="s">
        <v>8</v>
      </c>
      <c r="R5" s="103" t="s">
        <v>85</v>
      </c>
      <c r="S5" s="71" t="s">
        <v>85</v>
      </c>
      <c r="T5" s="72" t="s">
        <v>86</v>
      </c>
      <c r="U5" s="71" t="s">
        <v>87</v>
      </c>
      <c r="V5" s="71" t="s">
        <v>95</v>
      </c>
      <c r="W5" s="89" t="s">
        <v>93</v>
      </c>
      <c r="X5" s="73" t="s">
        <v>91</v>
      </c>
      <c r="Y5" s="73" t="s">
        <v>99</v>
      </c>
      <c r="Z5" s="78" t="s">
        <v>94</v>
      </c>
    </row>
    <row r="6" spans="1:26" s="22" customFormat="1" ht="29.45" customHeight="1" x14ac:dyDescent="0.25">
      <c r="B6" s="27">
        <v>1</v>
      </c>
      <c r="C6" s="38" t="s">
        <v>12</v>
      </c>
      <c r="D6" s="39" t="s">
        <v>13</v>
      </c>
      <c r="E6" s="36">
        <v>45416</v>
      </c>
      <c r="F6" s="57" t="s">
        <v>14</v>
      </c>
      <c r="G6" s="39">
        <v>480000</v>
      </c>
      <c r="H6" s="40"/>
      <c r="I6" s="40"/>
      <c r="J6" s="40"/>
      <c r="K6" s="40"/>
      <c r="L6" s="40"/>
      <c r="M6" s="40"/>
      <c r="N6" s="40"/>
      <c r="O6" s="29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480000</v>
      </c>
      <c r="P6" s="91"/>
      <c r="Q6" s="91">
        <f>+Tableau2456573483457810610121314151416174568911[[#This Row],[REMUNERATION BRUTE]]-S6-W6-Y6-Tableau2456573483457810610121314151416174568911[[#This Row],[ RETENUS ORTB]]</f>
        <v>395020</v>
      </c>
      <c r="R6" s="99"/>
      <c r="S6" s="74">
        <v>67700</v>
      </c>
      <c r="T6" s="75">
        <f>Tableau2456573483457810610121314151416174568911[[#This Row],[REMUNERATION BRUTE]]*0.04</f>
        <v>19200</v>
      </c>
      <c r="U6" s="74">
        <v>110400</v>
      </c>
      <c r="V6" s="74">
        <f>Tableau2456573483457810610121314151416174568911[[#This Row],[REMUNERATION BRUTE]]*0.23</f>
        <v>110400</v>
      </c>
      <c r="W6" s="74">
        <f>Tableau2456573483457810610121314151416174568911[[#This Row],[REMUNERATION BRUTE]]*0.036</f>
        <v>17280</v>
      </c>
      <c r="X6" s="87">
        <f t="shared" ref="X6:X42" si="0">U6-W6</f>
        <v>93120</v>
      </c>
      <c r="Y6" s="87"/>
      <c r="Z6" s="74"/>
    </row>
    <row r="7" spans="1:26" s="22" customFormat="1" ht="28.9" customHeight="1" x14ac:dyDescent="0.25">
      <c r="A7" s="22" t="s">
        <v>100</v>
      </c>
      <c r="B7" s="90">
        <v>2</v>
      </c>
      <c r="C7" s="18" t="s">
        <v>18</v>
      </c>
      <c r="D7" s="11" t="s">
        <v>19</v>
      </c>
      <c r="E7" s="12">
        <v>45416</v>
      </c>
      <c r="F7" s="58">
        <v>1201500185908</v>
      </c>
      <c r="G7" s="11">
        <v>389429</v>
      </c>
      <c r="H7" s="41"/>
      <c r="I7" s="41"/>
      <c r="J7" s="41"/>
      <c r="K7" s="41"/>
      <c r="L7" s="41"/>
      <c r="M7" s="41"/>
      <c r="N7" s="41"/>
      <c r="O7" s="29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389429</v>
      </c>
      <c r="P7" s="91"/>
      <c r="Q7" s="91">
        <f>+Tableau2456573483457810610121314151416174568911[[#This Row],[REMUNERATION BRUTE]]-S7-W7-Y7-Tableau2456573483457810610121314151416174568911[[#This Row],[ RETENUS ORTB]]</f>
        <v>324999.55599999998</v>
      </c>
      <c r="R7" s="99"/>
      <c r="S7" s="74">
        <v>50410</v>
      </c>
      <c r="T7" s="75">
        <f>Tableau2456573483457810610121314151416174568911[[#This Row],[REMUNERATION BRUTE]]*0.04</f>
        <v>15577.16</v>
      </c>
      <c r="U7" s="74">
        <v>89569</v>
      </c>
      <c r="V7" s="74">
        <f>Tableau2456573483457810610121314151416174568911[[#This Row],[REMUNERATION BRUTE]]*0.23</f>
        <v>89568.67</v>
      </c>
      <c r="W7" s="74">
        <f>Tableau2456573483457810610121314151416174568911[[#This Row],[REMUNERATION BRUTE]]*0.036</f>
        <v>14019.444</v>
      </c>
      <c r="X7" s="87">
        <f t="shared" si="0"/>
        <v>75549.555999999997</v>
      </c>
      <c r="Y7" s="87"/>
      <c r="Z7" s="74"/>
    </row>
    <row r="8" spans="1:26" s="22" customFormat="1" ht="28.9" customHeight="1" x14ac:dyDescent="0.25">
      <c r="B8" s="154">
        <v>3</v>
      </c>
      <c r="C8" s="18" t="s">
        <v>20</v>
      </c>
      <c r="D8" s="11" t="s">
        <v>21</v>
      </c>
      <c r="E8" s="12">
        <v>45416</v>
      </c>
      <c r="F8" s="17" t="s">
        <v>22</v>
      </c>
      <c r="G8" s="11">
        <v>279575</v>
      </c>
      <c r="H8" s="41"/>
      <c r="I8" s="41"/>
      <c r="J8" s="41"/>
      <c r="K8" s="41"/>
      <c r="L8" s="41"/>
      <c r="M8" s="41"/>
      <c r="N8" s="41"/>
      <c r="O8" s="29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279575</v>
      </c>
      <c r="P8" s="91"/>
      <c r="Q8" s="91">
        <f>+Tableau2456573483457810610121314151416174568911[[#This Row],[REMUNERATION BRUTE]]-S8-W8-Y8-Tableau2456573483457810610121314151416174568911[[#This Row],[ RETENUS ORTB]]</f>
        <v>240000.3</v>
      </c>
      <c r="R8" s="102"/>
      <c r="S8" s="74">
        <v>29510</v>
      </c>
      <c r="T8" s="75">
        <f>Tableau2456573483457810610121314151416174568911[[#This Row],[REMUNERATION BRUTE]]*0.04</f>
        <v>11183</v>
      </c>
      <c r="U8" s="74">
        <v>64302</v>
      </c>
      <c r="V8" s="74">
        <f>Tableau2456573483457810610121314151416174568911[[#This Row],[REMUNERATION BRUTE]]*0.23</f>
        <v>64302.25</v>
      </c>
      <c r="W8" s="74">
        <f>Tableau2456573483457810610121314151416174568911[[#This Row],[REMUNERATION BRUTE]]*0.036</f>
        <v>10064.699999999999</v>
      </c>
      <c r="X8" s="87">
        <f t="shared" si="0"/>
        <v>54237.3</v>
      </c>
      <c r="Y8" s="87"/>
      <c r="Z8" s="74"/>
    </row>
    <row r="9" spans="1:26" s="80" customFormat="1" ht="27.75" customHeight="1" x14ac:dyDescent="0.25">
      <c r="B9" s="90">
        <v>4</v>
      </c>
      <c r="C9" s="81" t="s">
        <v>15</v>
      </c>
      <c r="D9" s="85" t="s">
        <v>16</v>
      </c>
      <c r="E9" s="105">
        <v>45422</v>
      </c>
      <c r="F9" s="97" t="s">
        <v>17</v>
      </c>
      <c r="G9" s="85">
        <v>420000</v>
      </c>
      <c r="H9" s="86"/>
      <c r="I9" s="86"/>
      <c r="J9" s="86"/>
      <c r="K9" s="86"/>
      <c r="L9" s="86"/>
      <c r="M9" s="86"/>
      <c r="N9" s="86"/>
      <c r="O9" s="91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420000</v>
      </c>
      <c r="P9" s="91"/>
      <c r="Q9" s="91">
        <f>+Tableau2456573483457810610121314151416174568911[[#This Row],[REMUNERATION BRUTE]]-S9-W9-Y9-Tableau2456573483457810610121314151416174568911[[#This Row],[ RETENUS ORTB]]</f>
        <v>348580</v>
      </c>
      <c r="R9" s="101"/>
      <c r="S9" s="87">
        <v>56300</v>
      </c>
      <c r="T9" s="88">
        <f>Tableau2456573483457810610121314151416174568911[[#This Row],[REMUNERATION BRUTE]]*0.04</f>
        <v>16800</v>
      </c>
      <c r="U9" s="87">
        <v>96600</v>
      </c>
      <c r="V9" s="87">
        <f>Tableau2456573483457810610121314151416174568911[[#This Row],[REMUNERATION BRUTE]]*0.23</f>
        <v>96600</v>
      </c>
      <c r="W9" s="87">
        <f>Tableau2456573483457810610121314151416174568911[[#This Row],[REMUNERATION BRUTE]]*0.036</f>
        <v>15119.999999999998</v>
      </c>
      <c r="X9" s="87">
        <f t="shared" si="0"/>
        <v>81480</v>
      </c>
      <c r="Y9" s="87"/>
      <c r="Z9" s="87"/>
    </row>
    <row r="10" spans="1:26" s="22" customFormat="1" ht="28.9" customHeight="1" x14ac:dyDescent="0.25">
      <c r="A10" s="22" t="s">
        <v>100</v>
      </c>
      <c r="B10" s="27">
        <v>5</v>
      </c>
      <c r="C10" s="18" t="s">
        <v>9</v>
      </c>
      <c r="D10" s="11" t="s">
        <v>10</v>
      </c>
      <c r="E10" s="12">
        <v>45425</v>
      </c>
      <c r="F10" s="17" t="s">
        <v>11</v>
      </c>
      <c r="G10" s="13">
        <v>579336</v>
      </c>
      <c r="H10" s="29">
        <v>100000</v>
      </c>
      <c r="I10" s="29">
        <v>20000</v>
      </c>
      <c r="J10" s="29"/>
      <c r="K10" s="29"/>
      <c r="L10" s="29">
        <v>50000</v>
      </c>
      <c r="M10" s="29"/>
      <c r="N10" s="29"/>
      <c r="O10" s="29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409336</v>
      </c>
      <c r="P10" s="91"/>
      <c r="Q10" s="91">
        <f>+Tableau2456573483457810610121314151416174568911[[#This Row],[REMUNERATION BRUTE]]-S10-W10-Y10-Tableau2456573483457810610121314151416174568911[[#This Row],[ RETENUS ORTB]]</f>
        <v>463279.90399999998</v>
      </c>
      <c r="R10" s="99"/>
      <c r="S10" s="74">
        <v>95200</v>
      </c>
      <c r="T10" s="75">
        <f>Tableau2456573483457810610121314151416174568911[[#This Row],[REMUNERATION BRUTE]]*0.04</f>
        <v>23173.439999999999</v>
      </c>
      <c r="U10" s="74">
        <v>133247</v>
      </c>
      <c r="V10" s="74">
        <f>Tableau2456573483457810610121314151416174568911[[#This Row],[REMUNERATION BRUTE]]*0.23</f>
        <v>133247.28</v>
      </c>
      <c r="W10" s="74">
        <f>Tableau2456573483457810610121314151416174568911[[#This Row],[REMUNERATION BRUTE]]*0.036</f>
        <v>20856.095999999998</v>
      </c>
      <c r="X10" s="87">
        <f t="shared" si="0"/>
        <v>112390.90400000001</v>
      </c>
      <c r="Y10" s="87"/>
      <c r="Z10" s="74"/>
    </row>
    <row r="11" spans="1:26" s="22" customFormat="1" ht="28.9" customHeight="1" x14ac:dyDescent="0.25">
      <c r="B11" s="90">
        <v>6</v>
      </c>
      <c r="C11" s="38" t="s">
        <v>26</v>
      </c>
      <c r="D11" s="39" t="s">
        <v>10</v>
      </c>
      <c r="E11" s="36">
        <v>45445</v>
      </c>
      <c r="F11" s="57" t="s">
        <v>27</v>
      </c>
      <c r="G11" s="13">
        <v>609336</v>
      </c>
      <c r="H11" s="29">
        <v>100000</v>
      </c>
      <c r="I11" s="29">
        <v>50000</v>
      </c>
      <c r="J11" s="29"/>
      <c r="K11" s="29"/>
      <c r="L11" s="29">
        <v>50000</v>
      </c>
      <c r="M11" s="29"/>
      <c r="N11" s="29"/>
      <c r="O11" s="29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409336</v>
      </c>
      <c r="P11" s="91"/>
      <c r="Q11" s="91">
        <f>+Tableau2456573483457810610121314151416174568911[[#This Row],[REMUNERATION BRUTE]]-S11-W11-Y11-Tableau2456573483457810610121314151416174568911[[#This Row],[ RETENUS ORTB]]</f>
        <v>483199.90399999998</v>
      </c>
      <c r="R11" s="99"/>
      <c r="S11" s="74">
        <v>104200</v>
      </c>
      <c r="T11" s="75">
        <f>Tableau2456573483457810610121314151416174568911[[#This Row],[REMUNERATION BRUTE]]*0.04</f>
        <v>24373.439999999999</v>
      </c>
      <c r="U11" s="74">
        <v>140147</v>
      </c>
      <c r="V11" s="74">
        <f>Tableau2456573483457810610121314151416174568911[[#This Row],[REMUNERATION BRUTE]]*0.23</f>
        <v>140147.28</v>
      </c>
      <c r="W11" s="74">
        <f>Tableau2456573483457810610121314151416174568911[[#This Row],[REMUNERATION BRUTE]]*0.036</f>
        <v>21936.095999999998</v>
      </c>
      <c r="X11" s="87">
        <f t="shared" si="0"/>
        <v>118210.90400000001</v>
      </c>
      <c r="Y11" s="87"/>
      <c r="Z11" s="74"/>
    </row>
    <row r="12" spans="1:26" s="80" customFormat="1" ht="28.9" customHeight="1" x14ac:dyDescent="0.25">
      <c r="B12" s="27">
        <v>7</v>
      </c>
      <c r="C12" s="96" t="s">
        <v>28</v>
      </c>
      <c r="D12" s="82" t="s">
        <v>24</v>
      </c>
      <c r="E12" s="83">
        <v>45481</v>
      </c>
      <c r="F12" s="100" t="s">
        <v>29</v>
      </c>
      <c r="G12" s="82">
        <v>167583</v>
      </c>
      <c r="H12" s="98"/>
      <c r="I12" s="98"/>
      <c r="J12" s="98"/>
      <c r="K12" s="98"/>
      <c r="L12" s="98"/>
      <c r="M12" s="98"/>
      <c r="N12" s="98"/>
      <c r="O12" s="91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167583</v>
      </c>
      <c r="P12" s="91"/>
      <c r="Q12" s="91">
        <f>+Tableau2456573483457810610121314151416174568911[[#This Row],[REMUNERATION BRUTE]]-S12-W12-Y12-Tableau2456573483457810610121314151416174568911[[#This Row],[ RETENUS ORTB]]</f>
        <v>150000.01199999999</v>
      </c>
      <c r="R12" s="101"/>
      <c r="S12" s="87">
        <v>11550</v>
      </c>
      <c r="T12" s="88">
        <f>Tableau2456573483457810610121314151416174568911[[#This Row],[REMUNERATION BRUTE]]*0.04</f>
        <v>6703.32</v>
      </c>
      <c r="U12" s="87">
        <v>38544</v>
      </c>
      <c r="V12" s="87">
        <f>Tableau2456573483457810610121314151416174568911[[#This Row],[REMUNERATION BRUTE]]*0.23</f>
        <v>38544.090000000004</v>
      </c>
      <c r="W12" s="87">
        <f>Tableau2456573483457810610121314151416174568911[[#This Row],[REMUNERATION BRUTE]]*0.036</f>
        <v>6032.9879999999994</v>
      </c>
      <c r="X12" s="87">
        <f t="shared" si="0"/>
        <v>32511.012000000002</v>
      </c>
      <c r="Y12" s="87"/>
      <c r="Z12" s="87"/>
    </row>
    <row r="13" spans="1:26" s="22" customFormat="1" ht="28.9" customHeight="1" x14ac:dyDescent="0.25">
      <c r="B13" s="90">
        <v>8</v>
      </c>
      <c r="C13" s="38" t="s">
        <v>30</v>
      </c>
      <c r="D13" s="39" t="s">
        <v>55</v>
      </c>
      <c r="E13" s="36">
        <v>45566</v>
      </c>
      <c r="F13" s="17" t="s">
        <v>78</v>
      </c>
      <c r="G13" s="39">
        <v>85581</v>
      </c>
      <c r="H13" s="40"/>
      <c r="I13" s="40"/>
      <c r="J13" s="40"/>
      <c r="K13" s="40"/>
      <c r="L13" s="40"/>
      <c r="M13" s="40"/>
      <c r="N13" s="40"/>
      <c r="O13" s="29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85581</v>
      </c>
      <c r="P13" s="91"/>
      <c r="Q13" s="91">
        <f>+Tableau2456573483457810610121314151416174568911[[#This Row],[REMUNERATION BRUTE]]-S13-W13-Y13-Tableau2456573483457810610121314151416174568911[[#This Row],[ RETENUS ORTB]]</f>
        <v>80000.084000000003</v>
      </c>
      <c r="R13" s="104">
        <f>(60000-0)*0%+(85000-60000)*10%</f>
        <v>2500</v>
      </c>
      <c r="S13" s="74">
        <v>2500</v>
      </c>
      <c r="T13" s="75"/>
      <c r="U13" s="74">
        <v>19684</v>
      </c>
      <c r="V13" s="74">
        <f>Tableau2456573483457810610121314151416174568911[[#This Row],[REMUNERATION BRUTE]]*0.23</f>
        <v>19683.63</v>
      </c>
      <c r="W13" s="74">
        <f>Tableau2456573483457810610121314151416174568911[[#This Row],[REMUNERATION BRUTE]]*0.036</f>
        <v>3080.9159999999997</v>
      </c>
      <c r="X13" s="74">
        <f t="shared" si="0"/>
        <v>16603.083999999999</v>
      </c>
      <c r="Y13" s="74"/>
      <c r="Z13" s="74" t="s">
        <v>92</v>
      </c>
    </row>
    <row r="14" spans="1:26" s="80" customFormat="1" ht="28.9" customHeight="1" x14ac:dyDescent="0.25">
      <c r="A14" s="80" t="s">
        <v>100</v>
      </c>
      <c r="B14" s="27">
        <v>9</v>
      </c>
      <c r="C14" s="81" t="s">
        <v>31</v>
      </c>
      <c r="D14" s="82" t="s">
        <v>24</v>
      </c>
      <c r="E14" s="83">
        <v>45566</v>
      </c>
      <c r="F14" s="84" t="s">
        <v>67</v>
      </c>
      <c r="G14" s="85">
        <v>127697</v>
      </c>
      <c r="H14" s="86"/>
      <c r="I14" s="86"/>
      <c r="J14" s="86"/>
      <c r="K14" s="86"/>
      <c r="L14" s="86"/>
      <c r="M14" s="86"/>
      <c r="N14" s="86"/>
      <c r="O14" s="91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14" s="91"/>
      <c r="Q14" s="91">
        <f>+Tableau2456573483457810610121314151416174568911[[#This Row],[REMUNERATION BRUTE]]-S14-W14-Y14-Tableau2456573483457810610121314151416174568911[[#This Row],[ RETENUS ORTB]]</f>
        <v>116399.908</v>
      </c>
      <c r="R14" s="101"/>
      <c r="S14" s="87">
        <v>6700</v>
      </c>
      <c r="T14" s="88">
        <f>Tableau2456573483457810610121314151416174568911[[#This Row],[REMUNERATION BRUTE]]*0.04</f>
        <v>5107.88</v>
      </c>
      <c r="U14" s="87">
        <v>29370</v>
      </c>
      <c r="V14" s="87">
        <f>Tableau2456573483457810610121314151416174568911[[#This Row],[REMUNERATION BRUTE]]*0.23</f>
        <v>29370.31</v>
      </c>
      <c r="W14" s="87">
        <f>Tableau2456573483457810610121314151416174568911[[#This Row],[REMUNERATION BRUTE]]*0.036</f>
        <v>4597.0919999999996</v>
      </c>
      <c r="X14" s="87">
        <f t="shared" si="0"/>
        <v>24772.907999999999</v>
      </c>
      <c r="Y14" s="87"/>
      <c r="Z14" s="87"/>
    </row>
    <row r="15" spans="1:26" s="80" customFormat="1" ht="28.9" customHeight="1" x14ac:dyDescent="0.25">
      <c r="B15" s="90">
        <v>10</v>
      </c>
      <c r="C15" s="81" t="s">
        <v>50</v>
      </c>
      <c r="D15" s="82" t="s">
        <v>24</v>
      </c>
      <c r="E15" s="83">
        <v>45566</v>
      </c>
      <c r="F15" s="84" t="s">
        <v>65</v>
      </c>
      <c r="G15" s="85">
        <v>127697</v>
      </c>
      <c r="H15" s="86"/>
      <c r="I15" s="86"/>
      <c r="J15" s="86"/>
      <c r="K15" s="86"/>
      <c r="L15" s="86"/>
      <c r="M15" s="86"/>
      <c r="N15" s="86"/>
      <c r="O15" s="91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15" s="91"/>
      <c r="Q15" s="91">
        <f>+Tableau2456573483457810610121314151416174568911[[#This Row],[REMUNERATION BRUTE]]-S15-W15-Y15-Tableau2456573483457810610121314151416174568911[[#This Row],[ RETENUS ORTB]]</f>
        <v>116399.908</v>
      </c>
      <c r="R15" s="101"/>
      <c r="S15" s="87">
        <v>6700</v>
      </c>
      <c r="T15" s="88">
        <f>Tableau2456573483457810610121314151416174568911[[#This Row],[REMUNERATION BRUTE]]*0.04</f>
        <v>5107.88</v>
      </c>
      <c r="U15" s="87">
        <v>29370</v>
      </c>
      <c r="V15" s="87">
        <f>Tableau2456573483457810610121314151416174568911[[#This Row],[REMUNERATION BRUTE]]*0.23</f>
        <v>29370.31</v>
      </c>
      <c r="W15" s="87">
        <f>Tableau2456573483457810610121314151416174568911[[#This Row],[REMUNERATION BRUTE]]*0.036</f>
        <v>4597.0919999999996</v>
      </c>
      <c r="X15" s="87">
        <f t="shared" si="0"/>
        <v>24772.907999999999</v>
      </c>
      <c r="Y15" s="87"/>
      <c r="Z15" s="87"/>
    </row>
    <row r="16" spans="1:26" s="108" customFormat="1" ht="27.75" customHeight="1" x14ac:dyDescent="0.25">
      <c r="B16" s="27">
        <v>11</v>
      </c>
      <c r="C16" s="109" t="s">
        <v>34</v>
      </c>
      <c r="D16" s="110" t="s">
        <v>24</v>
      </c>
      <c r="E16" s="111">
        <v>45566</v>
      </c>
      <c r="F16" s="112" t="s">
        <v>75</v>
      </c>
      <c r="G16" s="113">
        <v>139004</v>
      </c>
      <c r="H16" s="114"/>
      <c r="I16" s="114"/>
      <c r="J16" s="114"/>
      <c r="K16" s="114"/>
      <c r="L16" s="114"/>
      <c r="M16" s="114"/>
      <c r="N16" s="114"/>
      <c r="O16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139004</v>
      </c>
      <c r="P16" s="91"/>
      <c r="Q16" s="91">
        <f>+Tableau2456573483457810610121314151416174568911[[#This Row],[REMUNERATION BRUTE]]-S16-W16-Y16-Tableau2456573483457810610121314151416174568911[[#This Row],[ RETENUS ORTB]]</f>
        <v>126099.856</v>
      </c>
      <c r="R16" s="116"/>
      <c r="S16" s="75">
        <v>7900</v>
      </c>
      <c r="T16" s="75"/>
      <c r="U16" s="75">
        <v>31971</v>
      </c>
      <c r="V16" s="75">
        <f>Tableau2456573483457810610121314151416174568911[[#This Row],[REMUNERATION BRUTE]]*0.23</f>
        <v>31970.920000000002</v>
      </c>
      <c r="W16" s="75">
        <f>Tableau2456573483457810610121314151416174568911[[#This Row],[REMUNERATION BRUTE]]*0.036</f>
        <v>5004.1439999999993</v>
      </c>
      <c r="X16" s="88">
        <f t="shared" si="0"/>
        <v>26966.856</v>
      </c>
      <c r="Y16" s="88"/>
      <c r="Z16" s="75" t="s">
        <v>92</v>
      </c>
    </row>
    <row r="17" spans="1:26" s="108" customFormat="1" ht="28.9" customHeight="1" x14ac:dyDescent="0.25">
      <c r="B17" s="90">
        <v>12</v>
      </c>
      <c r="C17" s="109" t="s">
        <v>35</v>
      </c>
      <c r="D17" s="113" t="s">
        <v>58</v>
      </c>
      <c r="E17" s="111">
        <v>45566</v>
      </c>
      <c r="F17" s="112" t="s">
        <v>59</v>
      </c>
      <c r="G17" s="113">
        <v>612137</v>
      </c>
      <c r="H17" s="114"/>
      <c r="I17" s="114"/>
      <c r="J17" s="114"/>
      <c r="K17" s="114"/>
      <c r="L17" s="114"/>
      <c r="M17" s="114"/>
      <c r="N17" s="114"/>
      <c r="O17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612137</v>
      </c>
      <c r="P17" s="91"/>
      <c r="Q17" s="91">
        <f>+Tableau2456573483457810610121314151416174568911[[#This Row],[REMUNERATION BRUTE]]-S17-W17-Y17-Tableau2456573483457810610121314151416174568911[[#This Row],[ RETENUS ORTB]]</f>
        <v>485000.06800000003</v>
      </c>
      <c r="R17" s="116"/>
      <c r="S17" s="75">
        <v>105100</v>
      </c>
      <c r="T17" s="75">
        <f>Tableau2456573483457810610121314151416174568911[[#This Row],[REMUNERATION BRUTE]]*0.04</f>
        <v>24485.48</v>
      </c>
      <c r="U17" s="75">
        <v>140792</v>
      </c>
      <c r="V17" s="75">
        <f>Tableau2456573483457810610121314151416174568911[[#This Row],[REMUNERATION BRUTE]]*0.23</f>
        <v>140791.51</v>
      </c>
      <c r="W17" s="75">
        <f>Tableau2456573483457810610121314151416174568911[[#This Row],[REMUNERATION BRUTE]]*0.036</f>
        <v>22036.931999999997</v>
      </c>
      <c r="X17" s="88">
        <f t="shared" si="0"/>
        <v>118755.068</v>
      </c>
      <c r="Y17" s="88"/>
      <c r="Z17" s="75"/>
    </row>
    <row r="18" spans="1:26" s="108" customFormat="1" ht="28.9" customHeight="1" x14ac:dyDescent="0.25">
      <c r="B18" s="27">
        <v>13</v>
      </c>
      <c r="C18" s="109" t="s">
        <v>36</v>
      </c>
      <c r="D18" s="110" t="s">
        <v>24</v>
      </c>
      <c r="E18" s="111">
        <v>45566</v>
      </c>
      <c r="F18" s="112" t="s">
        <v>73</v>
      </c>
      <c r="G18" s="113">
        <v>127697</v>
      </c>
      <c r="H18" s="114"/>
      <c r="I18" s="114"/>
      <c r="J18" s="114"/>
      <c r="K18" s="114"/>
      <c r="L18" s="114"/>
      <c r="M18" s="114"/>
      <c r="N18" s="114"/>
      <c r="O18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18" s="91"/>
      <c r="Q18" s="91">
        <f>+Tableau2456573483457810610121314151416174568911[[#This Row],[REMUNERATION BRUTE]]-S18-W18-Y18-Tableau2456573483457810610121314151416174568911[[#This Row],[ RETENUS ORTB]]</f>
        <v>116399.908</v>
      </c>
      <c r="R18" s="117"/>
      <c r="S18" s="75">
        <v>6700</v>
      </c>
      <c r="T18" s="75"/>
      <c r="U18" s="75">
        <v>29370</v>
      </c>
      <c r="V18" s="75">
        <f>Tableau2456573483457810610121314151416174568911[[#This Row],[REMUNERATION BRUTE]]*0.23</f>
        <v>29370.31</v>
      </c>
      <c r="W18" s="75">
        <f>Tableau2456573483457810610121314151416174568911[[#This Row],[REMUNERATION BRUTE]]*0.036</f>
        <v>4597.0919999999996</v>
      </c>
      <c r="X18" s="88">
        <f t="shared" si="0"/>
        <v>24772.907999999999</v>
      </c>
      <c r="Y18" s="88"/>
      <c r="Z18" s="75" t="s">
        <v>92</v>
      </c>
    </row>
    <row r="19" spans="1:26" s="108" customFormat="1" ht="28.9" customHeight="1" x14ac:dyDescent="0.25">
      <c r="A19" s="108" t="s">
        <v>96</v>
      </c>
      <c r="B19" s="90">
        <v>14</v>
      </c>
      <c r="C19" s="109" t="s">
        <v>37</v>
      </c>
      <c r="D19" s="110" t="s">
        <v>10</v>
      </c>
      <c r="E19" s="111">
        <v>45566</v>
      </c>
      <c r="F19" s="118">
        <v>1201502945809</v>
      </c>
      <c r="G19" s="113">
        <v>520747</v>
      </c>
      <c r="H19" s="114">
        <v>100000</v>
      </c>
      <c r="I19" s="114">
        <v>50000</v>
      </c>
      <c r="J19" s="114"/>
      <c r="K19" s="114"/>
      <c r="L19" s="114">
        <v>50000</v>
      </c>
      <c r="M19" s="114"/>
      <c r="N19" s="114"/>
      <c r="O19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320747</v>
      </c>
      <c r="P19" s="91"/>
      <c r="Q19" s="91">
        <f>+Tableau2456573483457810610121314151416174568911[[#This Row],[REMUNERATION BRUTE]]-S19-W19-Y19-Tableau2456573483457810610121314151416174568911[[#This Row],[ RETENUS ORTB]]</f>
        <v>424500.10800000001</v>
      </c>
      <c r="R19" s="116"/>
      <c r="S19" s="75">
        <v>77500</v>
      </c>
      <c r="T19" s="75"/>
      <c r="U19" s="75">
        <v>119772</v>
      </c>
      <c r="V19" s="75">
        <f>Tableau2456573483457810610121314151416174568911[[#This Row],[REMUNERATION BRUTE]]*0.23</f>
        <v>119771.81000000001</v>
      </c>
      <c r="W19" s="75">
        <f>Tableau2456573483457810610121314151416174568911[[#This Row],[REMUNERATION BRUTE]]*0.036</f>
        <v>18746.892</v>
      </c>
      <c r="X19" s="88">
        <f t="shared" si="0"/>
        <v>101025.10800000001</v>
      </c>
      <c r="Y19" s="88"/>
      <c r="Z19" s="75" t="s">
        <v>92</v>
      </c>
    </row>
    <row r="20" spans="1:26" s="119" customFormat="1" ht="28.9" customHeight="1" x14ac:dyDescent="0.25">
      <c r="B20" s="27">
        <v>15</v>
      </c>
      <c r="C20" s="120" t="s">
        <v>38</v>
      </c>
      <c r="D20" s="121" t="s">
        <v>24</v>
      </c>
      <c r="E20" s="122">
        <v>45566</v>
      </c>
      <c r="F20" s="123" t="s">
        <v>71</v>
      </c>
      <c r="G20" s="124">
        <v>127697</v>
      </c>
      <c r="H20" s="125"/>
      <c r="I20" s="125"/>
      <c r="J20" s="125"/>
      <c r="K20" s="125"/>
      <c r="L20" s="125"/>
      <c r="M20" s="125"/>
      <c r="N20" s="125"/>
      <c r="O20" s="126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0" s="91"/>
      <c r="Q20" s="91">
        <f>+Tableau2456573483457810610121314151416174568911[[#This Row],[REMUNERATION BRUTE]]-S20-W20-Y20-Tableau2456573483457810610121314151416174568911[[#This Row],[ RETENUS ORTB]]</f>
        <v>116399.908</v>
      </c>
      <c r="R20" s="127"/>
      <c r="S20" s="88">
        <v>6700</v>
      </c>
      <c r="T20" s="88"/>
      <c r="U20" s="88">
        <v>29370</v>
      </c>
      <c r="V20" s="88">
        <f>Tableau2456573483457810610121314151416174568911[[#This Row],[REMUNERATION BRUTE]]*0.23</f>
        <v>29370.31</v>
      </c>
      <c r="W20" s="88">
        <f>Tableau2456573483457810610121314151416174568911[[#This Row],[REMUNERATION BRUTE]]*0.036</f>
        <v>4597.0919999999996</v>
      </c>
      <c r="X20" s="88">
        <f t="shared" si="0"/>
        <v>24772.907999999999</v>
      </c>
      <c r="Y20" s="88"/>
      <c r="Z20" s="88" t="s">
        <v>92</v>
      </c>
    </row>
    <row r="21" spans="1:26" s="119" customFormat="1" ht="28.9" customHeight="1" x14ac:dyDescent="0.25">
      <c r="B21" s="90">
        <v>16</v>
      </c>
      <c r="C21" s="120" t="s">
        <v>39</v>
      </c>
      <c r="D21" s="121" t="s">
        <v>24</v>
      </c>
      <c r="E21" s="122">
        <v>45566</v>
      </c>
      <c r="F21" s="123" t="s">
        <v>68</v>
      </c>
      <c r="G21" s="124">
        <v>127697</v>
      </c>
      <c r="H21" s="125"/>
      <c r="I21" s="125"/>
      <c r="J21" s="125"/>
      <c r="K21" s="125"/>
      <c r="L21" s="125"/>
      <c r="M21" s="125"/>
      <c r="N21" s="125"/>
      <c r="O21" s="126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1" s="91"/>
      <c r="Q21" s="91">
        <f>+Tableau2456573483457810610121314151416174568911[[#This Row],[REMUNERATION BRUTE]]-S21-W21-Y21-Tableau2456573483457810610121314151416174568911[[#This Row],[ RETENUS ORTB]]</f>
        <v>116399.908</v>
      </c>
      <c r="R21" s="127"/>
      <c r="S21" s="88">
        <v>6700</v>
      </c>
      <c r="T21" s="88">
        <f>Tableau2456573483457810610121314151416174568911[[#This Row],[REMUNERATION BRUTE]]*0.04</f>
        <v>5107.88</v>
      </c>
      <c r="U21" s="88">
        <v>29370</v>
      </c>
      <c r="V21" s="88">
        <f>Tableau2456573483457810610121314151416174568911[[#This Row],[REMUNERATION BRUTE]]*0.23</f>
        <v>29370.31</v>
      </c>
      <c r="W21" s="88">
        <f>Tableau2456573483457810610121314151416174568911[[#This Row],[REMUNERATION BRUTE]]*0.036</f>
        <v>4597.0919999999996</v>
      </c>
      <c r="X21" s="88">
        <f t="shared" si="0"/>
        <v>24772.907999999999</v>
      </c>
      <c r="Y21" s="88"/>
      <c r="Z21" s="88"/>
    </row>
    <row r="22" spans="1:26" s="119" customFormat="1" ht="28.9" customHeight="1" x14ac:dyDescent="0.25">
      <c r="B22" s="27">
        <v>17</v>
      </c>
      <c r="C22" s="120" t="s">
        <v>41</v>
      </c>
      <c r="D22" s="121" t="s">
        <v>24</v>
      </c>
      <c r="E22" s="122">
        <v>45566</v>
      </c>
      <c r="F22" s="123" t="s">
        <v>77</v>
      </c>
      <c r="G22" s="124">
        <v>127697</v>
      </c>
      <c r="H22" s="125"/>
      <c r="I22" s="125"/>
      <c r="J22" s="125"/>
      <c r="K22" s="125"/>
      <c r="L22" s="125"/>
      <c r="M22" s="125"/>
      <c r="N22" s="125"/>
      <c r="O22" s="126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2" s="91"/>
      <c r="Q22" s="91">
        <f>+Tableau2456573483457810610121314151416174568911[[#This Row],[REMUNERATION BRUTE]]-S22-W22-Y22-Tableau2456573483457810610121314151416174568911[[#This Row],[ RETENUS ORTB]]</f>
        <v>116399.908</v>
      </c>
      <c r="R22" s="128"/>
      <c r="S22" s="88">
        <v>6700</v>
      </c>
      <c r="T22" s="88">
        <f>Tableau2456573483457810610121314151416174568911[[#This Row],[REMUNERATION BRUTE]]*0.04</f>
        <v>5107.88</v>
      </c>
      <c r="U22" s="88">
        <v>29370</v>
      </c>
      <c r="V22" s="88">
        <f>Tableau2456573483457810610121314151416174568911[[#This Row],[REMUNERATION BRUTE]]*0.23</f>
        <v>29370.31</v>
      </c>
      <c r="W22" s="88">
        <f>Tableau2456573483457810610121314151416174568911[[#This Row],[REMUNERATION BRUTE]]*0.036</f>
        <v>4597.0919999999996</v>
      </c>
      <c r="X22" s="88">
        <f t="shared" si="0"/>
        <v>24772.907999999999</v>
      </c>
      <c r="Y22" s="88"/>
      <c r="Z22" s="88"/>
    </row>
    <row r="23" spans="1:26" s="119" customFormat="1" ht="28.9" customHeight="1" x14ac:dyDescent="0.25">
      <c r="B23" s="90">
        <v>18</v>
      </c>
      <c r="C23" s="120" t="s">
        <v>52</v>
      </c>
      <c r="D23" s="121" t="s">
        <v>24</v>
      </c>
      <c r="E23" s="122">
        <v>45566</v>
      </c>
      <c r="F23" s="123" t="s">
        <v>64</v>
      </c>
      <c r="G23" s="124">
        <v>127697</v>
      </c>
      <c r="H23" s="125"/>
      <c r="I23" s="125"/>
      <c r="J23" s="125"/>
      <c r="K23" s="125"/>
      <c r="L23" s="125"/>
      <c r="M23" s="125"/>
      <c r="N23" s="125"/>
      <c r="O23" s="126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3" s="91"/>
      <c r="Q23" s="91">
        <f>+Tableau2456573483457810610121314151416174568911[[#This Row],[REMUNERATION BRUTE]]-S23-W23-Y23-Tableau2456573483457810610121314151416174568911[[#This Row],[ RETENUS ORTB]]</f>
        <v>116399.908</v>
      </c>
      <c r="R23" s="128"/>
      <c r="S23" s="88">
        <v>6700</v>
      </c>
      <c r="T23" s="88">
        <f>Tableau2456573483457810610121314151416174568911[[#This Row],[REMUNERATION BRUTE]]*0.04</f>
        <v>5107.88</v>
      </c>
      <c r="U23" s="88">
        <v>29370</v>
      </c>
      <c r="V23" s="88">
        <f>Tableau2456573483457810610121314151416174568911[[#This Row],[REMUNERATION BRUTE]]*0.23</f>
        <v>29370.31</v>
      </c>
      <c r="W23" s="88">
        <f>Tableau2456573483457810610121314151416174568911[[#This Row],[REMUNERATION BRUTE]]*0.036</f>
        <v>4597.0919999999996</v>
      </c>
      <c r="X23" s="88">
        <f t="shared" si="0"/>
        <v>24772.907999999999</v>
      </c>
      <c r="Y23" s="88"/>
      <c r="Z23" s="88"/>
    </row>
    <row r="24" spans="1:26" s="108" customFormat="1" ht="28.9" customHeight="1" x14ac:dyDescent="0.25">
      <c r="B24" s="27">
        <v>19</v>
      </c>
      <c r="C24" s="109" t="s">
        <v>42</v>
      </c>
      <c r="D24" s="110" t="s">
        <v>10</v>
      </c>
      <c r="E24" s="111">
        <v>45566</v>
      </c>
      <c r="F24" s="112" t="s">
        <v>63</v>
      </c>
      <c r="G24" s="113">
        <v>430747</v>
      </c>
      <c r="H24" s="114">
        <v>100000</v>
      </c>
      <c r="I24" s="114">
        <v>10000</v>
      </c>
      <c r="J24" s="114"/>
      <c r="K24" s="114"/>
      <c r="L24" s="114"/>
      <c r="M24" s="114"/>
      <c r="N24" s="114"/>
      <c r="O24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320747</v>
      </c>
      <c r="P24" s="91"/>
      <c r="Q24" s="91">
        <f>+Tableau2456573483457810610121314151416174568911[[#This Row],[REMUNERATION BRUTE]]-S24-W24-Y24-Tableau2456573483457810610121314151416174568911[[#This Row],[ RETENUS ORTB]]</f>
        <v>357040.10800000001</v>
      </c>
      <c r="R24" s="129">
        <f>(60000-0)*0%+(150000-60000)*10%+(250000-150000)*15%+(430000-250000)*19%</f>
        <v>58200</v>
      </c>
      <c r="S24" s="75">
        <v>58200</v>
      </c>
      <c r="T24" s="75"/>
      <c r="U24" s="75">
        <v>99072</v>
      </c>
      <c r="V24" s="75">
        <f>Tableau2456573483457810610121314151416174568911[[#This Row],[REMUNERATION BRUTE]]*0.23</f>
        <v>99071.81</v>
      </c>
      <c r="W24" s="75">
        <f>Tableau2456573483457810610121314151416174568911[[#This Row],[REMUNERATION BRUTE]]*0.036</f>
        <v>15506.891999999998</v>
      </c>
      <c r="X24" s="88">
        <f t="shared" si="0"/>
        <v>83565.108000000007</v>
      </c>
      <c r="Y24" s="88"/>
      <c r="Z24" s="75" t="s">
        <v>92</v>
      </c>
    </row>
    <row r="25" spans="1:26" s="108" customFormat="1" ht="28.15" customHeight="1" x14ac:dyDescent="0.25">
      <c r="B25" s="90">
        <v>20</v>
      </c>
      <c r="C25" s="109" t="s">
        <v>44</v>
      </c>
      <c r="D25" s="110" t="s">
        <v>24</v>
      </c>
      <c r="E25" s="111">
        <v>45566</v>
      </c>
      <c r="F25" s="112" t="s">
        <v>66</v>
      </c>
      <c r="G25" s="113">
        <v>127697</v>
      </c>
      <c r="H25" s="114"/>
      <c r="I25" s="114"/>
      <c r="J25" s="114"/>
      <c r="K25" s="114"/>
      <c r="L25" s="114"/>
      <c r="M25" s="114"/>
      <c r="N25" s="114"/>
      <c r="O25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5" s="91"/>
      <c r="Q25" s="91">
        <f>+Tableau2456573483457810610121314151416174568911[[#This Row],[REMUNERATION BRUTE]]-S25-W25-Y25-Tableau2456573483457810610121314151416174568911[[#This Row],[ RETENUS ORTB]]</f>
        <v>116399.908</v>
      </c>
      <c r="R25" s="116"/>
      <c r="S25" s="75">
        <v>6700</v>
      </c>
      <c r="T25" s="75">
        <f>Tableau2456573483457810610121314151416174568911[[#This Row],[REMUNERATION BRUTE]]*0.04</f>
        <v>5107.88</v>
      </c>
      <c r="U25" s="75">
        <v>29370</v>
      </c>
      <c r="V25" s="75">
        <f>Tableau2456573483457810610121314151416174568911[[#This Row],[REMUNERATION BRUTE]]*0.23</f>
        <v>29370.31</v>
      </c>
      <c r="W25" s="75">
        <f>Tableau2456573483457810610121314151416174568911[[#This Row],[REMUNERATION BRUTE]]*0.036</f>
        <v>4597.0919999999996</v>
      </c>
      <c r="X25" s="75">
        <f t="shared" si="0"/>
        <v>24772.907999999999</v>
      </c>
      <c r="Y25" s="75"/>
      <c r="Z25" s="75"/>
    </row>
    <row r="26" spans="1:26" s="108" customFormat="1" ht="28.9" customHeight="1" x14ac:dyDescent="0.25">
      <c r="B26" s="27">
        <v>21</v>
      </c>
      <c r="C26" s="109" t="s">
        <v>45</v>
      </c>
      <c r="D26" s="110" t="s">
        <v>10</v>
      </c>
      <c r="E26" s="111">
        <v>45566</v>
      </c>
      <c r="F26" s="118">
        <v>1201407764405</v>
      </c>
      <c r="G26" s="113">
        <v>500747</v>
      </c>
      <c r="H26" s="114">
        <v>100000</v>
      </c>
      <c r="I26" s="114">
        <v>30000</v>
      </c>
      <c r="J26" s="114"/>
      <c r="K26" s="114"/>
      <c r="L26" s="114">
        <v>50000</v>
      </c>
      <c r="M26" s="114"/>
      <c r="N26" s="114"/>
      <c r="O26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320747</v>
      </c>
      <c r="P26" s="91"/>
      <c r="Q26" s="91">
        <f>+Tableau2456573483457810610121314151416174568911[[#This Row],[REMUNERATION BRUTE]]-S26-W26-Y26-Tableau2456573483457810610121314151416174568911[[#This Row],[ RETENUS ORTB]]</f>
        <v>411220.10800000001</v>
      </c>
      <c r="R26" s="129">
        <f>(60000-0)*0%+(150000-60000)*10%+(250000-150000)*15%+(500000-250000)*19%</f>
        <v>71500</v>
      </c>
      <c r="S26" s="75">
        <v>71500</v>
      </c>
      <c r="T26" s="75"/>
      <c r="U26" s="75">
        <v>115171.81000000001</v>
      </c>
      <c r="V26" s="75">
        <f>Tableau2456573483457810610121314151416174568911[[#This Row],[REMUNERATION BRUTE]]*0.23</f>
        <v>115171.81000000001</v>
      </c>
      <c r="W26" s="75">
        <f>Tableau2456573483457810610121314151416174568911[[#This Row],[REMUNERATION BRUTE]]*0.036</f>
        <v>18026.892</v>
      </c>
      <c r="X26" s="88">
        <f t="shared" si="0"/>
        <v>97144.918000000005</v>
      </c>
      <c r="Y26" s="88"/>
      <c r="Z26" s="75" t="s">
        <v>92</v>
      </c>
    </row>
    <row r="27" spans="1:26" s="108" customFormat="1" ht="28.9" customHeight="1" x14ac:dyDescent="0.25">
      <c r="B27" s="90">
        <v>22</v>
      </c>
      <c r="C27" s="109" t="s">
        <v>47</v>
      </c>
      <c r="D27" s="110" t="s">
        <v>10</v>
      </c>
      <c r="E27" s="111">
        <v>45566</v>
      </c>
      <c r="F27" s="112" t="s">
        <v>62</v>
      </c>
      <c r="G27" s="113">
        <v>520747</v>
      </c>
      <c r="H27" s="114">
        <v>100000</v>
      </c>
      <c r="I27" s="114">
        <v>50000</v>
      </c>
      <c r="J27" s="114"/>
      <c r="K27" s="114"/>
      <c r="L27" s="114">
        <v>50000</v>
      </c>
      <c r="M27" s="114"/>
      <c r="N27" s="114"/>
      <c r="O27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320747</v>
      </c>
      <c r="P27" s="91"/>
      <c r="Q27" s="91">
        <f>+Tableau2456573483457810610121314151416174568911[[#This Row],[REMUNERATION BRUTE]]-S27-W27-Y27-Tableau2456573483457810610121314151416174568911[[#This Row],[ RETENUS ORTB]]</f>
        <v>424500.10800000001</v>
      </c>
      <c r="R27" s="116"/>
      <c r="S27" s="75">
        <v>77500</v>
      </c>
      <c r="T27" s="75">
        <f>Tableau2456573483457810610121314151416174568911[[#This Row],[REMUNERATION BRUTE]]*0.04</f>
        <v>20829.88</v>
      </c>
      <c r="U27" s="75">
        <v>119772</v>
      </c>
      <c r="V27" s="75">
        <f>Tableau2456573483457810610121314151416174568911[[#This Row],[REMUNERATION BRUTE]]*0.23</f>
        <v>119771.81000000001</v>
      </c>
      <c r="W27" s="75">
        <f>Tableau2456573483457810610121314151416174568911[[#This Row],[REMUNERATION BRUTE]]*0.036</f>
        <v>18746.892</v>
      </c>
      <c r="X27" s="88">
        <f t="shared" si="0"/>
        <v>101025.10800000001</v>
      </c>
      <c r="Y27" s="88"/>
      <c r="Z27" s="75"/>
    </row>
    <row r="28" spans="1:26" s="119" customFormat="1" ht="28.9" customHeight="1" x14ac:dyDescent="0.25">
      <c r="A28" s="119" t="s">
        <v>97</v>
      </c>
      <c r="B28" s="90">
        <v>23</v>
      </c>
      <c r="C28" s="120" t="s">
        <v>48</v>
      </c>
      <c r="D28" s="124" t="s">
        <v>24</v>
      </c>
      <c r="E28" s="122">
        <v>45566</v>
      </c>
      <c r="F28" s="123" t="s">
        <v>79</v>
      </c>
      <c r="G28" s="124">
        <v>127697</v>
      </c>
      <c r="H28" s="125"/>
      <c r="I28" s="125"/>
      <c r="J28" s="125"/>
      <c r="K28" s="125"/>
      <c r="L28" s="125"/>
      <c r="M28" s="125"/>
      <c r="N28" s="125"/>
      <c r="O28" s="126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8" s="91"/>
      <c r="Q28" s="91">
        <f>+Tableau2456573483457810610121314151416174568911[[#This Row],[REMUNERATION BRUTE]]-S28-W28-Y28-Tableau2456573483457810610121314151416174568911[[#This Row],[ RETENUS ORTB]]</f>
        <v>116399.908</v>
      </c>
      <c r="R28" s="128"/>
      <c r="S28" s="88">
        <v>6700</v>
      </c>
      <c r="T28" s="88"/>
      <c r="U28" s="88">
        <v>29370</v>
      </c>
      <c r="V28" s="88">
        <f>Tableau2456573483457810610121314151416174568911[[#This Row],[REMUNERATION BRUTE]]*0.23</f>
        <v>29370.31</v>
      </c>
      <c r="W28" s="88">
        <f>Tableau2456573483457810610121314151416174568911[[#This Row],[REMUNERATION BRUTE]]*0.036</f>
        <v>4597.0919999999996</v>
      </c>
      <c r="X28" s="88">
        <f t="shared" si="0"/>
        <v>24772.907999999999</v>
      </c>
      <c r="Y28" s="88"/>
      <c r="Z28" s="88" t="s">
        <v>92</v>
      </c>
    </row>
    <row r="29" spans="1:26" s="119" customFormat="1" ht="29.25" customHeight="1" x14ac:dyDescent="0.25">
      <c r="B29" s="90">
        <v>24</v>
      </c>
      <c r="C29" s="120" t="s">
        <v>49</v>
      </c>
      <c r="D29" s="124" t="s">
        <v>24</v>
      </c>
      <c r="E29" s="122">
        <v>45566</v>
      </c>
      <c r="F29" s="123" t="s">
        <v>74</v>
      </c>
      <c r="G29" s="124">
        <v>127697</v>
      </c>
      <c r="H29" s="125"/>
      <c r="I29" s="125"/>
      <c r="J29" s="125"/>
      <c r="K29" s="125"/>
      <c r="L29" s="125"/>
      <c r="M29" s="125"/>
      <c r="N29" s="125"/>
      <c r="O29" s="126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29" s="91"/>
      <c r="Q29" s="91">
        <f>+Tableau2456573483457810610121314151416174568911[[#This Row],[REMUNERATION BRUTE]]-S29-W29-Y29-Tableau2456573483457810610121314151416174568911[[#This Row],[ RETENUS ORTB]]</f>
        <v>116399.908</v>
      </c>
      <c r="R29" s="128"/>
      <c r="S29" s="88">
        <v>6700</v>
      </c>
      <c r="T29" s="88">
        <f>Tableau2456573483457810610121314151416174568911[[#This Row],[REMUNERATION BRUTE]]*0.04</f>
        <v>5107.88</v>
      </c>
      <c r="U29" s="88">
        <v>29370</v>
      </c>
      <c r="V29" s="88">
        <f>Tableau2456573483457810610121314151416174568911[[#This Row],[REMUNERATION BRUTE]]*0.23</f>
        <v>29370.31</v>
      </c>
      <c r="W29" s="88">
        <f>Tableau2456573483457810610121314151416174568911[[#This Row],[REMUNERATION BRUTE]]*0.036</f>
        <v>4597.0919999999996</v>
      </c>
      <c r="X29" s="88">
        <f t="shared" si="0"/>
        <v>24772.907999999999</v>
      </c>
      <c r="Y29" s="88"/>
      <c r="Z29" s="88"/>
    </row>
    <row r="30" spans="1:26" s="108" customFormat="1" ht="28.9" customHeight="1" x14ac:dyDescent="0.25">
      <c r="A30" s="108" t="s">
        <v>98</v>
      </c>
      <c r="B30" s="27">
        <v>25</v>
      </c>
      <c r="C30" s="109" t="s">
        <v>43</v>
      </c>
      <c r="D30" s="110" t="s">
        <v>10</v>
      </c>
      <c r="E30" s="111">
        <v>45566</v>
      </c>
      <c r="F30" s="112" t="s">
        <v>61</v>
      </c>
      <c r="G30" s="113">
        <v>831224</v>
      </c>
      <c r="H30" s="114"/>
      <c r="I30" s="114"/>
      <c r="J30" s="114"/>
      <c r="K30" s="114"/>
      <c r="L30" s="114">
        <v>50000</v>
      </c>
      <c r="M30" s="114"/>
      <c r="N30" s="114"/>
      <c r="O30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781224</v>
      </c>
      <c r="P30" s="91"/>
      <c r="Q30" s="91">
        <f>+Tableau2456573483457810610121314151416174568911[[#This Row],[REMUNERATION BRUTE]]-S30-W30-Y30-Tableau2456573483457810610121314151416174568911[[#This Row],[ RETENUS ORTB]]</f>
        <v>630499.93599999999</v>
      </c>
      <c r="R30" s="116"/>
      <c r="S30" s="75">
        <v>170800</v>
      </c>
      <c r="T30" s="75"/>
      <c r="U30" s="75">
        <v>191182</v>
      </c>
      <c r="V30" s="75">
        <f>Tableau2456573483457810610121314151416174568911[[#This Row],[REMUNERATION BRUTE]]*0.23</f>
        <v>191181.52000000002</v>
      </c>
      <c r="W30" s="75">
        <f>Tableau2456573483457810610121314151416174568911[[#This Row],[REMUNERATION BRUTE]]*0.036</f>
        <v>29924.063999999998</v>
      </c>
      <c r="X30" s="88">
        <f t="shared" si="0"/>
        <v>161257.93599999999</v>
      </c>
      <c r="Y30" s="88"/>
      <c r="Z30" s="75" t="s">
        <v>92</v>
      </c>
    </row>
    <row r="31" spans="1:26" s="108" customFormat="1" ht="28.9" customHeight="1" x14ac:dyDescent="0.25">
      <c r="B31" s="90">
        <v>26</v>
      </c>
      <c r="C31" s="109" t="s">
        <v>33</v>
      </c>
      <c r="D31" s="110" t="s">
        <v>10</v>
      </c>
      <c r="E31" s="130">
        <v>45569</v>
      </c>
      <c r="F31" s="112" t="s">
        <v>60</v>
      </c>
      <c r="G31" s="113">
        <v>579336</v>
      </c>
      <c r="H31" s="114">
        <v>100000</v>
      </c>
      <c r="I31" s="114">
        <v>20000</v>
      </c>
      <c r="J31" s="114"/>
      <c r="K31" s="114"/>
      <c r="L31" s="114">
        <v>50000</v>
      </c>
      <c r="M31" s="114"/>
      <c r="N31" s="114"/>
      <c r="O31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409336</v>
      </c>
      <c r="P31" s="91"/>
      <c r="Q31" s="91">
        <f>+Tableau2456573483457810610121314151416174568911[[#This Row],[REMUNERATION BRUTE]]-S31-W31-Y31-Tableau2456573483457810610121314151416174568911[[#This Row],[ RETENUS ORTB]]</f>
        <v>463279.90399999998</v>
      </c>
      <c r="R31" s="116"/>
      <c r="S31" s="75">
        <v>95200</v>
      </c>
      <c r="T31" s="75">
        <f>Tableau2456573483457810610121314151416174568911[[#This Row],[REMUNERATION BRUTE]]*0.04</f>
        <v>23173.439999999999</v>
      </c>
      <c r="U31" s="75">
        <v>133247</v>
      </c>
      <c r="V31" s="75">
        <f>Tableau2456573483457810610121314151416174568911[[#This Row],[REMUNERATION BRUTE]]*0.23</f>
        <v>133247.28</v>
      </c>
      <c r="W31" s="75">
        <f>Tableau2456573483457810610121314151416174568911[[#This Row],[REMUNERATION BRUTE]]*0.036</f>
        <v>20856.095999999998</v>
      </c>
      <c r="X31" s="88">
        <f t="shared" si="0"/>
        <v>112390.90400000001</v>
      </c>
      <c r="Y31" s="88"/>
      <c r="Z31" s="75"/>
    </row>
    <row r="32" spans="1:26" s="108" customFormat="1" ht="28.9" customHeight="1" x14ac:dyDescent="0.25">
      <c r="B32" s="27">
        <v>27</v>
      </c>
      <c r="C32" s="109" t="s">
        <v>46</v>
      </c>
      <c r="D32" s="110" t="s">
        <v>10</v>
      </c>
      <c r="E32" s="130">
        <v>45569</v>
      </c>
      <c r="F32" s="112" t="s">
        <v>80</v>
      </c>
      <c r="G32" s="113">
        <v>519336</v>
      </c>
      <c r="H32" s="114">
        <v>100000</v>
      </c>
      <c r="I32" s="114">
        <v>10000</v>
      </c>
      <c r="J32" s="114"/>
      <c r="K32" s="114"/>
      <c r="L32" s="114"/>
      <c r="M32" s="114"/>
      <c r="N32" s="114"/>
      <c r="O32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409336</v>
      </c>
      <c r="P32" s="91"/>
      <c r="Q32" s="91">
        <f>+Tableau2456573483457810610121314151416174568911[[#This Row],[REMUNERATION BRUTE]]-S32-W32-Y32-Tableau2456573483457810610121314151416174568911[[#This Row],[ RETENUS ORTB]]</f>
        <v>423439.90399999998</v>
      </c>
      <c r="R32" s="116"/>
      <c r="S32" s="75">
        <v>77200</v>
      </c>
      <c r="T32" s="75">
        <f>Tableau2456573483457810610121314151416174568911[[#This Row],[REMUNERATION BRUTE]]*0.04</f>
        <v>20773.439999999999</v>
      </c>
      <c r="U32" s="75">
        <v>119447</v>
      </c>
      <c r="V32" s="75">
        <f>Tableau2456573483457810610121314151416174568911[[#This Row],[REMUNERATION BRUTE]]*0.23</f>
        <v>119447.28</v>
      </c>
      <c r="W32" s="75">
        <f>Tableau2456573483457810610121314151416174568911[[#This Row],[REMUNERATION BRUTE]]*0.036</f>
        <v>18696.095999999998</v>
      </c>
      <c r="X32" s="88">
        <f t="shared" si="0"/>
        <v>100750.90400000001</v>
      </c>
      <c r="Y32" s="88"/>
      <c r="Z32" s="75"/>
    </row>
    <row r="33" spans="1:27" s="108" customFormat="1" ht="28.9" customHeight="1" x14ac:dyDescent="0.25">
      <c r="A33" s="108" t="s">
        <v>98</v>
      </c>
      <c r="B33" s="90">
        <v>28</v>
      </c>
      <c r="C33" s="109" t="s">
        <v>88</v>
      </c>
      <c r="D33" s="113" t="s">
        <v>21</v>
      </c>
      <c r="E33" s="130">
        <v>45638</v>
      </c>
      <c r="F33" s="131" t="s">
        <v>102</v>
      </c>
      <c r="G33" s="113">
        <v>277583</v>
      </c>
      <c r="H33" s="114">
        <v>100000</v>
      </c>
      <c r="I33" s="114">
        <v>10000</v>
      </c>
      <c r="J33" s="113"/>
      <c r="K33" s="113"/>
      <c r="L33" s="113"/>
      <c r="M33" s="113"/>
      <c r="N33" s="113"/>
      <c r="O33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167583</v>
      </c>
      <c r="P33" s="91"/>
      <c r="Q33" s="91">
        <f>+Tableau2456573483457810610121314151416174568911[[#This Row],[REMUNERATION BRUTE]]-S33-W33-Y33-Tableau2456573483457810610121314151416174568911[[#This Row],[ RETENUS ORTB]]</f>
        <v>238460.01199999999</v>
      </c>
      <c r="R33" s="133">
        <f>(60000-0)*0%+(150000-60000)*10%+(250000-150000)*15%+(277000-250000)*19%</f>
        <v>29130</v>
      </c>
      <c r="S33" s="75">
        <v>29130</v>
      </c>
      <c r="T33" s="75"/>
      <c r="U33" s="75">
        <v>63844</v>
      </c>
      <c r="V33" s="75">
        <f>Tableau2456573483457810610121314151416174568911[[#This Row],[REMUNERATION BRUTE]]*0.23</f>
        <v>63844.090000000004</v>
      </c>
      <c r="W33" s="75">
        <f>Tableau2456573483457810610121314151416174568911[[#This Row],[REMUNERATION BRUTE]]*0.036</f>
        <v>9992.9879999999994</v>
      </c>
      <c r="X33" s="88">
        <f t="shared" si="0"/>
        <v>53851.012000000002</v>
      </c>
      <c r="Y33" s="88"/>
      <c r="Z33" s="75" t="s">
        <v>92</v>
      </c>
    </row>
    <row r="34" spans="1:27" s="108" customFormat="1" ht="28.9" customHeight="1" x14ac:dyDescent="0.25">
      <c r="B34" s="27">
        <v>29</v>
      </c>
      <c r="C34" s="109" t="s">
        <v>89</v>
      </c>
      <c r="D34" s="113" t="s">
        <v>10</v>
      </c>
      <c r="E34" s="130">
        <v>45672</v>
      </c>
      <c r="F34" s="131" t="s">
        <v>101</v>
      </c>
      <c r="G34" s="113">
        <v>579336</v>
      </c>
      <c r="H34" s="110">
        <v>100000</v>
      </c>
      <c r="I34" s="110">
        <v>20000</v>
      </c>
      <c r="J34" s="110"/>
      <c r="K34" s="110"/>
      <c r="L34" s="110">
        <v>50000</v>
      </c>
      <c r="M34" s="110"/>
      <c r="N34" s="110"/>
      <c r="O34" s="115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409336</v>
      </c>
      <c r="P34" s="91"/>
      <c r="Q34" s="91">
        <f>+Tableau2456573483457810610121314151416174568911[[#This Row],[REMUNERATION BRUTE]]-S34-W34-Y34-Tableau2456573483457810610121314151416174568911[[#This Row],[ RETENUS ORTB]]</f>
        <v>463279.90399999998</v>
      </c>
      <c r="R34" s="116"/>
      <c r="S34" s="75">
        <v>95200</v>
      </c>
      <c r="T34" s="75"/>
      <c r="U34" s="75">
        <v>133247</v>
      </c>
      <c r="V34" s="75">
        <f>Tableau2456573483457810610121314151416174568911[[#This Row],[REMUNERATION BRUTE]]*0.23</f>
        <v>133247.28</v>
      </c>
      <c r="W34" s="75">
        <f>Tableau2456573483457810610121314151416174568911[[#This Row],[REMUNERATION BRUTE]]*0.036</f>
        <v>20856.095999999998</v>
      </c>
      <c r="X34" s="88">
        <f t="shared" si="0"/>
        <v>112390.90400000001</v>
      </c>
      <c r="Y34" s="88"/>
      <c r="Z34" s="75" t="s">
        <v>92</v>
      </c>
    </row>
    <row r="35" spans="1:27" s="108" customFormat="1" ht="28.9" customHeight="1" x14ac:dyDescent="0.25">
      <c r="B35" s="90">
        <v>30</v>
      </c>
      <c r="C35" s="109" t="s">
        <v>104</v>
      </c>
      <c r="D35" s="113" t="s">
        <v>105</v>
      </c>
      <c r="E35" s="130">
        <v>45880</v>
      </c>
      <c r="F35" s="131" t="s">
        <v>106</v>
      </c>
      <c r="G35" s="113">
        <v>421670</v>
      </c>
      <c r="H35" s="110">
        <v>100000</v>
      </c>
      <c r="I35" s="110">
        <v>20000</v>
      </c>
      <c r="J35" s="110"/>
      <c r="K35" s="110"/>
      <c r="L35" s="110">
        <v>50000</v>
      </c>
      <c r="M35" s="132"/>
      <c r="N35" s="114"/>
      <c r="O35" s="113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251670</v>
      </c>
      <c r="P35" s="91"/>
      <c r="Q35" s="91">
        <f>+Tableau2456573483457810610121314151416174568911[[#This Row],[REMUNERATION BRUTE]]-S35-W35-Y35-Tableau2456573483457810610121314151416174568911[[#This Row],[ RETENUS ORTB]]</f>
        <v>349999.88</v>
      </c>
      <c r="R35" s="133">
        <f>(60000-0)*0%+(150000-60000)*10%+(250000-150000)*15%+(421000-250000)*19%</f>
        <v>56490</v>
      </c>
      <c r="S35" s="75">
        <v>56490</v>
      </c>
      <c r="T35" s="75">
        <f>Tableau2456573483457810610121314151416174568911[[#This Row],[REMUNERATION BRUTE]]*0.04</f>
        <v>16866.8</v>
      </c>
      <c r="U35" s="75">
        <v>96984</v>
      </c>
      <c r="V35" s="75">
        <f>Tableau2456573483457810610121314151416174568911[[#This Row],[REMUNERATION BRUTE]]*0.23</f>
        <v>96984.1</v>
      </c>
      <c r="W35" s="75">
        <f>Tableau2456573483457810610121314151416174568911[[#This Row],[REMUNERATION BRUTE]]*0.036</f>
        <v>15180.119999999999</v>
      </c>
      <c r="X35" s="88">
        <f t="shared" si="0"/>
        <v>81803.88</v>
      </c>
      <c r="Y35" s="88"/>
      <c r="Z35" s="75" t="s">
        <v>92</v>
      </c>
    </row>
    <row r="36" spans="1:27" s="108" customFormat="1" ht="28.9" customHeight="1" x14ac:dyDescent="0.25">
      <c r="B36" s="27">
        <v>31</v>
      </c>
      <c r="C36" s="109" t="s">
        <v>107</v>
      </c>
      <c r="D36" s="113" t="s">
        <v>108</v>
      </c>
      <c r="E36" s="130">
        <v>45880</v>
      </c>
      <c r="F36" s="131" t="s">
        <v>109</v>
      </c>
      <c r="G36" s="113">
        <v>292510</v>
      </c>
      <c r="H36" s="110"/>
      <c r="I36" s="110"/>
      <c r="J36" s="110"/>
      <c r="K36" s="110"/>
      <c r="L36" s="110"/>
      <c r="M36" s="132"/>
      <c r="N36" s="114"/>
      <c r="O36" s="113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292510</v>
      </c>
      <c r="P36" s="91"/>
      <c r="Q36" s="91">
        <f>+Tableau2456573483457810610121314151416174568911[[#This Row],[REMUNERATION BRUTE]]-S36-W36-Y36-Tableau2456573483457810610121314151416174568911[[#This Row],[ RETENUS ORTB]]</f>
        <v>249999.64</v>
      </c>
      <c r="R36" s="133">
        <f>(60000-0)*0%+(150000-60000)*10%+(250000-150000)*15%+(292000-250000)*19%</f>
        <v>31980</v>
      </c>
      <c r="S36" s="75">
        <v>31980</v>
      </c>
      <c r="T36" s="75">
        <f>Tableau2456573483457810610121314151416174568911[[#This Row],[REMUNERATION BRUTE]]*0.04</f>
        <v>11700.4</v>
      </c>
      <c r="U36" s="75">
        <v>67277</v>
      </c>
      <c r="V36" s="75">
        <f>Tableau2456573483457810610121314151416174568911[[#This Row],[REMUNERATION BRUTE]]*0.23</f>
        <v>67277.3</v>
      </c>
      <c r="W36" s="75">
        <f>Tableau2456573483457810610121314151416174568911[[#This Row],[REMUNERATION BRUTE]]*0.036</f>
        <v>10530.359999999999</v>
      </c>
      <c r="X36" s="88">
        <f t="shared" si="0"/>
        <v>56746.64</v>
      </c>
      <c r="Y36" s="88"/>
      <c r="Z36" s="75"/>
    </row>
    <row r="37" spans="1:27" s="108" customFormat="1" ht="28.9" customHeight="1" x14ac:dyDescent="0.25">
      <c r="B37" s="90">
        <v>32</v>
      </c>
      <c r="C37" s="109" t="s">
        <v>110</v>
      </c>
      <c r="D37" s="113" t="s">
        <v>111</v>
      </c>
      <c r="E37" s="130">
        <v>45880</v>
      </c>
      <c r="F37" s="131" t="s">
        <v>112</v>
      </c>
      <c r="G37" s="113">
        <v>402500</v>
      </c>
      <c r="H37" s="110">
        <v>100000</v>
      </c>
      <c r="I37" s="110">
        <v>10000</v>
      </c>
      <c r="J37" s="110">
        <v>70000</v>
      </c>
      <c r="K37" s="110"/>
      <c r="L37" s="110"/>
      <c r="M37" s="132"/>
      <c r="N37" s="114"/>
      <c r="O37" s="113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222500</v>
      </c>
      <c r="P37" s="91"/>
      <c r="Q37" s="91">
        <f>+Tableau2456573483457810610121314151416174568911[[#This Row],[REMUNERATION BRUTE]]-S37-W37-Y37-Tableau2456573483457810610121314151416174568911[[#This Row],[ RETENUS ORTB]]</f>
        <v>335130</v>
      </c>
      <c r="R37" s="133">
        <f>(60000-0)*0%+(150000-60000)*10%+(250000-150000)*15%+(402000-250000)*19%</f>
        <v>52880</v>
      </c>
      <c r="S37" s="75">
        <v>52880</v>
      </c>
      <c r="T37" s="75">
        <f>Tableau2456573483457810610121314151416174568911[[#This Row],[REMUNERATION BRUTE]]*0.04</f>
        <v>16100</v>
      </c>
      <c r="U37" s="75">
        <v>92575</v>
      </c>
      <c r="V37" s="75">
        <f>Tableau2456573483457810610121314151416174568911[[#This Row],[REMUNERATION BRUTE]]*0.23</f>
        <v>92575</v>
      </c>
      <c r="W37" s="75">
        <f>Tableau2456573483457810610121314151416174568911[[#This Row],[REMUNERATION BRUTE]]*0.036</f>
        <v>14489.999999999998</v>
      </c>
      <c r="X37" s="88">
        <f t="shared" si="0"/>
        <v>78085</v>
      </c>
      <c r="Y37" s="88"/>
      <c r="Z37" s="75" t="s">
        <v>92</v>
      </c>
    </row>
    <row r="38" spans="1:27" s="108" customFormat="1" ht="28.9" customHeight="1" x14ac:dyDescent="0.25">
      <c r="B38" s="27">
        <v>33</v>
      </c>
      <c r="C38" s="109" t="s">
        <v>115</v>
      </c>
      <c r="D38" s="113" t="s">
        <v>114</v>
      </c>
      <c r="E38" s="130">
        <v>45962</v>
      </c>
      <c r="F38" s="131" t="s">
        <v>69</v>
      </c>
      <c r="G38" s="113">
        <v>108714</v>
      </c>
      <c r="H38" s="110"/>
      <c r="I38" s="110"/>
      <c r="J38" s="110"/>
      <c r="K38" s="110"/>
      <c r="L38" s="110"/>
      <c r="M38" s="132"/>
      <c r="N38" s="114"/>
      <c r="O38" s="110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108714</v>
      </c>
      <c r="P38" s="91"/>
      <c r="Q38" s="91">
        <f>+Tableau2456573483457810610121314151416174568911[[#This Row],[REMUNERATION BRUTE]]-S38-W38-Y38-Tableau2456573483457810610121314151416174568911[[#This Row],[ RETENUS ORTB]]</f>
        <v>100000.296</v>
      </c>
      <c r="R38" s="129">
        <f>(60000-0)*0%+(108000-60000)*10%</f>
        <v>4800</v>
      </c>
      <c r="S38" s="75">
        <v>4800</v>
      </c>
      <c r="T38" s="75"/>
      <c r="U38" s="75">
        <v>25004</v>
      </c>
      <c r="V38" s="75">
        <f>Tableau2456573483457810610121314151416174568911[[#This Row],[REMUNERATION BRUTE]]*0.23</f>
        <v>25004.22</v>
      </c>
      <c r="W38" s="75">
        <f>Tableau2456573483457810610121314151416174568911[[#This Row],[REMUNERATION BRUTE]]*0.036</f>
        <v>3913.7039999999997</v>
      </c>
      <c r="X38" s="88">
        <f t="shared" si="0"/>
        <v>21090.296000000002</v>
      </c>
      <c r="Y38" s="88"/>
      <c r="Z38" s="75" t="s">
        <v>92</v>
      </c>
    </row>
    <row r="39" spans="1:27" s="108" customFormat="1" ht="28.9" customHeight="1" x14ac:dyDescent="0.25">
      <c r="B39" s="90">
        <v>34</v>
      </c>
      <c r="C39" s="109" t="s">
        <v>119</v>
      </c>
      <c r="D39" s="113" t="s">
        <v>10</v>
      </c>
      <c r="E39" s="130">
        <v>46083</v>
      </c>
      <c r="F39" s="134" t="s">
        <v>121</v>
      </c>
      <c r="G39" s="113">
        <v>409336</v>
      </c>
      <c r="H39" s="110"/>
      <c r="I39" s="110"/>
      <c r="J39" s="110"/>
      <c r="K39" s="110"/>
      <c r="L39" s="110"/>
      <c r="M39" s="132"/>
      <c r="N39" s="114"/>
      <c r="O39" s="110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409336</v>
      </c>
      <c r="P39" s="91"/>
      <c r="Q39" s="91">
        <f>+Tableau2456573483457810610121314151416174568911[[#This Row],[REMUNERATION BRUTE]]-S39-W39-Y39-Tableau2456573483457810610121314151416174568911[[#This Row],[ RETENUS ORTB]]</f>
        <v>340389.90399999998</v>
      </c>
      <c r="R39" s="135">
        <f>(60000-0)*0%+(150000-60000)*10%+(250000-150000)*15%+(409000-250000)*19%</f>
        <v>54210</v>
      </c>
      <c r="S39" s="75">
        <v>54210</v>
      </c>
      <c r="T39" s="75"/>
      <c r="U39" s="75">
        <v>94147</v>
      </c>
      <c r="V39" s="75">
        <f>Tableau2456573483457810610121314151416174568911[[#This Row],[REMUNERATION BRUTE]]*0.23</f>
        <v>94147.28</v>
      </c>
      <c r="W39" s="75">
        <f>Tableau2456573483457810610121314151416174568911[[#This Row],[REMUNERATION BRUTE]]*0.036</f>
        <v>14736.096</v>
      </c>
      <c r="X39" s="88">
        <f t="shared" si="0"/>
        <v>79410.903999999995</v>
      </c>
      <c r="Y39" s="88"/>
      <c r="Z39" s="75" t="s">
        <v>92</v>
      </c>
    </row>
    <row r="40" spans="1:27" s="108" customFormat="1" ht="27.75" customHeight="1" x14ac:dyDescent="0.25">
      <c r="B40" s="27">
        <v>35</v>
      </c>
      <c r="C40" s="109" t="s">
        <v>120</v>
      </c>
      <c r="D40" s="113" t="s">
        <v>24</v>
      </c>
      <c r="E40" s="130">
        <v>46097</v>
      </c>
      <c r="F40" s="131" t="s">
        <v>122</v>
      </c>
      <c r="G40" s="113">
        <v>127697</v>
      </c>
      <c r="H40" s="110"/>
      <c r="I40" s="110"/>
      <c r="J40" s="110"/>
      <c r="K40" s="110"/>
      <c r="L40" s="110"/>
      <c r="M40" s="132"/>
      <c r="N40" s="114"/>
      <c r="O40" s="110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40" s="91"/>
      <c r="Q40" s="91">
        <f>+Tableau2456573483457810610121314151416174568911[[#This Row],[REMUNERATION BRUTE]]-S40-W40-Y40-Tableau2456573483457810610121314151416174568911[[#This Row],[ RETENUS ORTB]]</f>
        <v>116399.908</v>
      </c>
      <c r="R40" s="129">
        <f>(60000-0)*0%+(127000-60000)*10%</f>
        <v>6700</v>
      </c>
      <c r="S40" s="75">
        <v>6700</v>
      </c>
      <c r="T40" s="75">
        <f>Tableau2456573483457810610121314151416174568911[[#This Row],[REMUNERATION BRUTE]]*0.04</f>
        <v>5107.88</v>
      </c>
      <c r="U40" s="75">
        <v>29370</v>
      </c>
      <c r="V40" s="75">
        <f>Tableau2456573483457810610121314151416174568911[[#This Row],[REMUNERATION BRUTE]]*0.23</f>
        <v>29370.31</v>
      </c>
      <c r="W40" s="75">
        <f>Tableau2456573483457810610121314151416174568911[[#This Row],[REMUNERATION BRUTE]]*0.036</f>
        <v>4597.0919999999996</v>
      </c>
      <c r="X40" s="88">
        <f t="shared" si="0"/>
        <v>24772.907999999999</v>
      </c>
      <c r="Y40" s="88"/>
      <c r="Z40" s="75"/>
    </row>
    <row r="41" spans="1:27" s="108" customFormat="1" ht="27.75" customHeight="1" x14ac:dyDescent="0.25">
      <c r="B41" s="90">
        <v>36</v>
      </c>
      <c r="C41" s="109" t="s">
        <v>131</v>
      </c>
      <c r="D41" s="113" t="s">
        <v>24</v>
      </c>
      <c r="E41" s="130">
        <v>46143</v>
      </c>
      <c r="F41" s="131" t="s">
        <v>132</v>
      </c>
      <c r="G41" s="113">
        <v>127697</v>
      </c>
      <c r="H41" s="110"/>
      <c r="I41" s="110"/>
      <c r="J41" s="110"/>
      <c r="K41" s="110"/>
      <c r="L41" s="110"/>
      <c r="M41" s="132"/>
      <c r="N41" s="114"/>
      <c r="O41" s="110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127697</v>
      </c>
      <c r="P41" s="91"/>
      <c r="Q41" s="115">
        <f>+Tableau2456573483457810610121314151416174568911[[#This Row],[REMUNERATION BRUTE]]-S41-W41-Y41-Tableau2456573483457810610121314151416174568911[[#This Row],[ RETENUS ORTB]]</f>
        <v>116399.908</v>
      </c>
      <c r="R41" s="151">
        <f>(60000-0)*0%+(127000-60000)*10%</f>
        <v>6700</v>
      </c>
      <c r="S41" s="75">
        <v>6700</v>
      </c>
      <c r="T41" s="75">
        <f>Tableau2456573483457810610121314151416174568911[[#This Row],[REMUNERATION BRUTE]]*0.04</f>
        <v>5107.88</v>
      </c>
      <c r="U41" s="75">
        <v>29370</v>
      </c>
      <c r="V41" s="75">
        <f>Tableau2456573483457810610121314151416174568911[[#This Row],[REMUNERATION BRUTE]]*0.23</f>
        <v>29370.31</v>
      </c>
      <c r="W41" s="75">
        <f>Tableau2456573483457810610121314151416174568911[[#This Row],[REMUNERATION BRUTE]]*0.036</f>
        <v>4597.0919999999996</v>
      </c>
      <c r="X41" s="75">
        <f t="shared" si="0"/>
        <v>24772.907999999999</v>
      </c>
      <c r="Y41" s="75"/>
      <c r="Z41" s="75"/>
    </row>
    <row r="42" spans="1:27" s="108" customFormat="1" ht="27.75" customHeight="1" x14ac:dyDescent="0.25">
      <c r="B42" s="27">
        <v>37</v>
      </c>
      <c r="C42" s="18" t="s">
        <v>135</v>
      </c>
      <c r="D42" s="11"/>
      <c r="E42" s="12"/>
      <c r="F42" s="17"/>
      <c r="G42" s="11">
        <v>131846</v>
      </c>
      <c r="H42" s="110"/>
      <c r="I42" s="39"/>
      <c r="J42" s="110"/>
      <c r="K42" s="110"/>
      <c r="L42" s="110"/>
      <c r="M42" s="40"/>
      <c r="N42" s="41"/>
      <c r="O42" s="110">
        <f>+Tableau2456573483457810610121314151416174568911[[#This Row],[REMUNERATION BRUTE]]-Tableau2456573483457810610121314151416174568911[[#This Row],[CHANTIERS]]-Tableau2456573483457810610121314151416174568911[[#This Row],[INDEMNITE D''ELOIGNEMENT]]-Tableau2456573483457810610121314151416174568911[[#This Row],[PRIME DEROGATOIRE]]-Tableau2456573483457810610121314151416174568911[[#This Row],[LOGEMENT]]-Tableau2456573483457810610121314151416174568911[[#This Row],[PRIME DE LICENCIEMENT]]-Tableau2456573483457810610121314151416174568911[[#This Row],[PRIME EXCEPTIONNELLE]]-Tableau2456573483457810610121314151416174568911[[#This Row],[INDEMNITE DE CONGES]]</f>
        <v>131846</v>
      </c>
      <c r="P42" s="91"/>
      <c r="Q42" s="11">
        <f>+Tableau2456573483457810610121314151416174568911[[#This Row],[REMUNERATION BRUTE]]-S42-W42-Y42-Tableau2456573483457810610121314151416174568911[[#This Row],[ RETENUS ORTB]]</f>
        <v>119999.54399999999</v>
      </c>
      <c r="R42" s="152">
        <f>(60000-0)*0%+(131000-60000)*10%</f>
        <v>7100</v>
      </c>
      <c r="S42" s="75">
        <v>7100</v>
      </c>
      <c r="T42" s="75">
        <f>Tableau2456573483457810610121314151416174568911[[#This Row],[REMUNERATION BRUTE]]*0.04</f>
        <v>5273.84</v>
      </c>
      <c r="U42" s="75">
        <v>30324.58</v>
      </c>
      <c r="V42" s="75">
        <f>Tableau2456573483457810610121314151416174568911[[#This Row],[REMUNERATION BRUTE]]*0.23</f>
        <v>30324.58</v>
      </c>
      <c r="W42" s="75">
        <f>Tableau2456573483457810610121314151416174568911[[#This Row],[REMUNERATION BRUTE]]*0.036</f>
        <v>4746.4559999999992</v>
      </c>
      <c r="X42" s="75">
        <f t="shared" si="0"/>
        <v>25578.124000000003</v>
      </c>
      <c r="Y42" s="75"/>
      <c r="Z42" s="75"/>
    </row>
    <row r="43" spans="1:27" ht="28.9" customHeight="1" x14ac:dyDescent="0.25">
      <c r="B43" s="59" t="s">
        <v>90</v>
      </c>
      <c r="C43" s="60"/>
      <c r="D43" s="61"/>
      <c r="E43" s="62"/>
      <c r="F43" s="63"/>
      <c r="G43" s="95">
        <f>SUBTOTAL(109,Tableau2456573483457810610121314151416174568911[REMUNERATION BRUTE])</f>
        <v>11820724</v>
      </c>
      <c r="H43" s="95">
        <f>SUBTOTAL(109,Tableau2456573483457810610121314151416174568911[CHANTIERS])</f>
        <v>1200000</v>
      </c>
      <c r="I43" s="95">
        <f>SUBTOTAL(109,Tableau2456573483457810610121314151416174568911[INDEMNITE D''ELOIGNEMENT])</f>
        <v>300000</v>
      </c>
      <c r="J43" s="95">
        <f>SUBTOTAL(109,Tableau2456573483457810610121314151416174568911[PRIME DEROGATOIRE])</f>
        <v>70000</v>
      </c>
      <c r="K43" s="95">
        <f>SUBTOTAL(109,Tableau2456573483457810610121314151416174568911[INDEMNITE DE CONGES])</f>
        <v>0</v>
      </c>
      <c r="L43" s="95">
        <f>SUBTOTAL(109,Tableau2456573483457810610121314151416174568911[LOGEMENT])</f>
        <v>450000</v>
      </c>
      <c r="M43" s="95">
        <f>SUBTOTAL(109,Tableau2456573483457810610121314151416174568911[PRIME DE LICENCIEMENT])</f>
        <v>0</v>
      </c>
      <c r="N43" s="95">
        <f>SUBTOTAL(109,Tableau2456573483457810610121314151416174568911[PRIME EXCEPTIONNELLE])</f>
        <v>0</v>
      </c>
      <c r="O43" s="61"/>
      <c r="P43" s="61">
        <f>SUBTOTAL(109,Tableau2456573483457810610121314151416174568911[[ RETENUS ORTB]])</f>
        <v>0</v>
      </c>
      <c r="Q43" s="67">
        <f>SUBTOTAL(109,Tableau2456573483457810610121314151416174568911[REMUNERATION NETTE])</f>
        <v>9824717.9359999988</v>
      </c>
      <c r="R43" s="106"/>
      <c r="S43" s="76">
        <f t="shared" ref="S43:X43" si="1">SUM(S6:S42)</f>
        <v>1570460</v>
      </c>
      <c r="T43" s="77">
        <f t="shared" si="1"/>
        <v>302184.56000000011</v>
      </c>
      <c r="U43" s="76">
        <f t="shared" si="1"/>
        <v>2718762.39</v>
      </c>
      <c r="V43" s="76">
        <f t="shared" si="1"/>
        <v>2718766.5200000005</v>
      </c>
      <c r="W43" s="74">
        <f t="shared" si="1"/>
        <v>425546.06400000007</v>
      </c>
      <c r="X43" s="87">
        <f t="shared" si="1"/>
        <v>2293216.3260000004</v>
      </c>
      <c r="Y43" s="87">
        <f>SUM(Y6:Y34)</f>
        <v>0</v>
      </c>
      <c r="Z43" s="64">
        <f>SUM(Z6:Z32)</f>
        <v>0</v>
      </c>
      <c r="AA43" s="65"/>
    </row>
    <row r="49" spans="1:27" s="66" customFormat="1" ht="15.75" x14ac:dyDescent="0.25">
      <c r="A49" s="1"/>
      <c r="B49" s="2"/>
      <c r="C49" s="2"/>
      <c r="D49" s="2"/>
      <c r="E49" s="2"/>
      <c r="F49" s="3"/>
      <c r="H49" s="107"/>
      <c r="O49" s="2"/>
      <c r="P49" s="2"/>
      <c r="S49" s="92"/>
      <c r="T49" s="93"/>
      <c r="U49" s="94"/>
      <c r="V49" s="94"/>
      <c r="W49" s="94"/>
      <c r="X49" s="92"/>
      <c r="Y49" s="92"/>
      <c r="Z49" s="1"/>
      <c r="AA49" s="1"/>
    </row>
  </sheetData>
  <mergeCells count="2">
    <mergeCell ref="B2:Q2"/>
    <mergeCell ref="B3:C3"/>
  </mergeCells>
  <pageMargins left="0.7" right="0.7" top="0.75" bottom="0.75" header="0.3" footer="0.3"/>
  <pageSetup paperSize="9" scale="46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7E72E-8DCC-41F2-8913-6C803F86568F}">
  <sheetPr>
    <tabColor rgb="FFFFC000"/>
    <pageSetUpPr fitToPage="1"/>
  </sheetPr>
  <dimension ref="A1:AA49"/>
  <sheetViews>
    <sheetView showGridLines="0"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46" sqref="D46"/>
    </sheetView>
  </sheetViews>
  <sheetFormatPr baseColWidth="10" defaultColWidth="9.140625" defaultRowHeight="15" x14ac:dyDescent="0.25"/>
  <cols>
    <col min="1" max="1" width="1.7109375" style="1" customWidth="1"/>
    <col min="2" max="2" width="5" style="2" customWidth="1"/>
    <col min="3" max="3" width="27.5703125" style="2" customWidth="1"/>
    <col min="4" max="4" width="18.42578125" style="2" customWidth="1"/>
    <col min="5" max="5" width="13.5703125" style="2" customWidth="1"/>
    <col min="6" max="6" width="17" style="3" customWidth="1"/>
    <col min="7" max="7" width="13.42578125" style="66" customWidth="1"/>
    <col min="8" max="8" width="13.28515625" style="66" customWidth="1"/>
    <col min="9" max="9" width="10.85546875" style="66" customWidth="1"/>
    <col min="10" max="10" width="10.42578125" style="66" customWidth="1"/>
    <col min="11" max="11" width="10.42578125" style="66" hidden="1" customWidth="1"/>
    <col min="12" max="12" width="10.7109375" style="66" customWidth="1"/>
    <col min="13" max="13" width="10.42578125" style="66" hidden="1" customWidth="1"/>
    <col min="14" max="14" width="10.28515625" style="66" hidden="1" customWidth="1"/>
    <col min="15" max="15" width="12.28515625" style="2" customWidth="1"/>
    <col min="16" max="16" width="12.28515625" style="2" hidden="1" customWidth="1"/>
    <col min="17" max="17" width="13.7109375" style="66" customWidth="1"/>
    <col min="18" max="18" width="12.28515625" style="66" hidden="1" customWidth="1"/>
    <col min="19" max="19" width="12.7109375" style="92" customWidth="1"/>
    <col min="20" max="20" width="11.28515625" style="93" customWidth="1"/>
    <col min="21" max="21" width="12.85546875" style="94" customWidth="1"/>
    <col min="22" max="22" width="12.5703125" style="94" customWidth="1"/>
    <col min="23" max="23" width="12.28515625" style="94" customWidth="1"/>
    <col min="24" max="24" width="12.85546875" style="92" customWidth="1"/>
    <col min="25" max="25" width="12.28515625" style="92" customWidth="1"/>
    <col min="26" max="26" width="18.5703125" style="1" customWidth="1"/>
    <col min="27" max="27" width="9.7109375" style="1" customWidth="1"/>
    <col min="28" max="16384" width="9.140625" style="1"/>
  </cols>
  <sheetData>
    <row r="1" spans="1:26" ht="8.25" customHeight="1" x14ac:dyDescent="0.25"/>
    <row r="2" spans="1:26" ht="21" customHeight="1" x14ac:dyDescent="0.25">
      <c r="B2" s="160" t="s">
        <v>1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55"/>
    </row>
    <row r="3" spans="1:26" ht="19.899999999999999" customHeight="1" x14ac:dyDescent="0.25">
      <c r="B3" s="162">
        <v>46235</v>
      </c>
      <c r="C3" s="162"/>
    </row>
    <row r="4" spans="1:26" ht="8.25" customHeight="1" x14ac:dyDescent="0.25"/>
    <row r="5" spans="1:26" s="79" customFormat="1" ht="43.5" customHeight="1" x14ac:dyDescent="0.25">
      <c r="B5" s="7" t="s">
        <v>2</v>
      </c>
      <c r="C5" s="8" t="s">
        <v>3</v>
      </c>
      <c r="D5" s="68" t="s">
        <v>4</v>
      </c>
      <c r="E5" s="68" t="s">
        <v>5</v>
      </c>
      <c r="F5" s="69" t="s">
        <v>6</v>
      </c>
      <c r="G5" s="68" t="s">
        <v>7</v>
      </c>
      <c r="H5" s="70" t="s">
        <v>82</v>
      </c>
      <c r="I5" s="70" t="s">
        <v>103</v>
      </c>
      <c r="J5" s="70" t="s">
        <v>134</v>
      </c>
      <c r="K5" s="70" t="s">
        <v>136</v>
      </c>
      <c r="L5" s="70" t="s">
        <v>83</v>
      </c>
      <c r="M5" s="70" t="s">
        <v>113</v>
      </c>
      <c r="N5" s="70" t="s">
        <v>133</v>
      </c>
      <c r="O5" s="70" t="s">
        <v>84</v>
      </c>
      <c r="P5" s="70" t="s">
        <v>130</v>
      </c>
      <c r="Q5" s="70" t="s">
        <v>8</v>
      </c>
      <c r="R5" s="103" t="s">
        <v>85</v>
      </c>
      <c r="S5" s="71" t="s">
        <v>85</v>
      </c>
      <c r="T5" s="72" t="s">
        <v>86</v>
      </c>
      <c r="U5" s="71" t="s">
        <v>87</v>
      </c>
      <c r="V5" s="71" t="s">
        <v>95</v>
      </c>
      <c r="W5" s="89" t="s">
        <v>93</v>
      </c>
      <c r="X5" s="73" t="s">
        <v>91</v>
      </c>
      <c r="Y5" s="73" t="s">
        <v>99</v>
      </c>
      <c r="Z5" s="78" t="s">
        <v>94</v>
      </c>
    </row>
    <row r="6" spans="1:26" s="22" customFormat="1" ht="29.45" customHeight="1" x14ac:dyDescent="0.25">
      <c r="B6" s="27">
        <v>1</v>
      </c>
      <c r="C6" s="38" t="s">
        <v>12</v>
      </c>
      <c r="D6" s="39" t="s">
        <v>13</v>
      </c>
      <c r="E6" s="36">
        <v>45416</v>
      </c>
      <c r="F6" s="57" t="s">
        <v>14</v>
      </c>
      <c r="G6" s="39"/>
      <c r="H6" s="40"/>
      <c r="I6" s="40"/>
      <c r="J6" s="40"/>
      <c r="K6" s="40"/>
      <c r="L6" s="40"/>
      <c r="M6" s="40"/>
      <c r="N6" s="40"/>
      <c r="O6" s="29"/>
      <c r="P6" s="91"/>
      <c r="Q6" s="91"/>
      <c r="R6" s="99"/>
      <c r="S6" s="74"/>
      <c r="T6" s="75"/>
      <c r="U6" s="74"/>
      <c r="V6" s="74"/>
      <c r="W6" s="74"/>
      <c r="X6" s="87"/>
      <c r="Y6" s="87"/>
      <c r="Z6" s="74"/>
    </row>
    <row r="7" spans="1:26" s="22" customFormat="1" ht="28.9" customHeight="1" x14ac:dyDescent="0.25">
      <c r="A7" s="22" t="s">
        <v>100</v>
      </c>
      <c r="B7" s="90">
        <v>2</v>
      </c>
      <c r="C7" s="18" t="s">
        <v>18</v>
      </c>
      <c r="D7" s="11" t="s">
        <v>19</v>
      </c>
      <c r="E7" s="12">
        <v>45416</v>
      </c>
      <c r="F7" s="58">
        <v>1201500185908</v>
      </c>
      <c r="G7" s="11"/>
      <c r="H7" s="41"/>
      <c r="I7" s="41"/>
      <c r="J7" s="41"/>
      <c r="K7" s="41"/>
      <c r="L7" s="41"/>
      <c r="M7" s="41"/>
      <c r="N7" s="41"/>
      <c r="O7" s="29"/>
      <c r="P7" s="91"/>
      <c r="Q7" s="91"/>
      <c r="R7" s="99"/>
      <c r="S7" s="74"/>
      <c r="T7" s="75"/>
      <c r="U7" s="74"/>
      <c r="V7" s="74"/>
      <c r="W7" s="74"/>
      <c r="X7" s="87"/>
      <c r="Y7" s="87"/>
      <c r="Z7" s="74"/>
    </row>
    <row r="8" spans="1:26" s="22" customFormat="1" ht="28.9" customHeight="1" x14ac:dyDescent="0.25">
      <c r="B8" s="154">
        <v>3</v>
      </c>
      <c r="C8" s="18" t="s">
        <v>20</v>
      </c>
      <c r="D8" s="11" t="s">
        <v>21</v>
      </c>
      <c r="E8" s="12">
        <v>45416</v>
      </c>
      <c r="F8" s="17" t="s">
        <v>22</v>
      </c>
      <c r="G8" s="11"/>
      <c r="H8" s="41"/>
      <c r="I8" s="41"/>
      <c r="J8" s="41"/>
      <c r="K8" s="41"/>
      <c r="L8" s="41"/>
      <c r="M8" s="41"/>
      <c r="N8" s="41"/>
      <c r="O8" s="29"/>
      <c r="P8" s="91"/>
      <c r="Q8" s="91"/>
      <c r="R8" s="102"/>
      <c r="S8" s="74"/>
      <c r="T8" s="75"/>
      <c r="U8" s="74"/>
      <c r="V8" s="74"/>
      <c r="W8" s="74"/>
      <c r="X8" s="87"/>
      <c r="Y8" s="87"/>
      <c r="Z8" s="74"/>
    </row>
    <row r="9" spans="1:26" s="80" customFormat="1" ht="27.75" customHeight="1" x14ac:dyDescent="0.25">
      <c r="B9" s="90">
        <v>4</v>
      </c>
      <c r="C9" s="81" t="s">
        <v>15</v>
      </c>
      <c r="D9" s="85" t="s">
        <v>16</v>
      </c>
      <c r="E9" s="105">
        <v>45422</v>
      </c>
      <c r="F9" s="97" t="s">
        <v>17</v>
      </c>
      <c r="G9" s="85"/>
      <c r="H9" s="86"/>
      <c r="I9" s="86"/>
      <c r="J9" s="86"/>
      <c r="K9" s="86"/>
      <c r="L9" s="86"/>
      <c r="M9" s="86"/>
      <c r="N9" s="86"/>
      <c r="O9" s="91"/>
      <c r="P9" s="91"/>
      <c r="Q9" s="91"/>
      <c r="R9" s="101"/>
      <c r="S9" s="87"/>
      <c r="T9" s="88"/>
      <c r="U9" s="87"/>
      <c r="V9" s="87"/>
      <c r="W9" s="87"/>
      <c r="X9" s="87"/>
      <c r="Y9" s="87"/>
      <c r="Z9" s="87"/>
    </row>
    <row r="10" spans="1:26" s="22" customFormat="1" ht="28.9" customHeight="1" x14ac:dyDescent="0.25">
      <c r="A10" s="22" t="s">
        <v>100</v>
      </c>
      <c r="B10" s="27">
        <v>5</v>
      </c>
      <c r="C10" s="18" t="s">
        <v>9</v>
      </c>
      <c r="D10" s="11" t="s">
        <v>10</v>
      </c>
      <c r="E10" s="12">
        <v>45425</v>
      </c>
      <c r="F10" s="17" t="s">
        <v>11</v>
      </c>
      <c r="G10" s="13"/>
      <c r="H10" s="29"/>
      <c r="I10" s="29"/>
      <c r="J10" s="29"/>
      <c r="K10" s="29"/>
      <c r="L10" s="29"/>
      <c r="M10" s="29"/>
      <c r="N10" s="29"/>
      <c r="O10" s="29"/>
      <c r="P10" s="91"/>
      <c r="Q10" s="91"/>
      <c r="R10" s="99"/>
      <c r="S10" s="74"/>
      <c r="T10" s="75"/>
      <c r="U10" s="74"/>
      <c r="V10" s="74"/>
      <c r="W10" s="74"/>
      <c r="X10" s="87"/>
      <c r="Y10" s="87"/>
      <c r="Z10" s="74"/>
    </row>
    <row r="11" spans="1:26" s="22" customFormat="1" ht="28.9" customHeight="1" x14ac:dyDescent="0.25">
      <c r="B11" s="90">
        <v>6</v>
      </c>
      <c r="C11" s="38" t="s">
        <v>26</v>
      </c>
      <c r="D11" s="39" t="s">
        <v>10</v>
      </c>
      <c r="E11" s="36">
        <v>45445</v>
      </c>
      <c r="F11" s="57" t="s">
        <v>27</v>
      </c>
      <c r="G11" s="13"/>
      <c r="H11" s="29"/>
      <c r="I11" s="29"/>
      <c r="J11" s="29"/>
      <c r="K11" s="29"/>
      <c r="L11" s="29"/>
      <c r="M11" s="29"/>
      <c r="N11" s="29"/>
      <c r="O11" s="29"/>
      <c r="P11" s="91"/>
      <c r="Q11" s="91"/>
      <c r="R11" s="99"/>
      <c r="S11" s="74"/>
      <c r="T11" s="75"/>
      <c r="U11" s="74"/>
      <c r="V11" s="74"/>
      <c r="W11" s="74"/>
      <c r="X11" s="87"/>
      <c r="Y11" s="87"/>
      <c r="Z11" s="74"/>
    </row>
    <row r="12" spans="1:26" s="80" customFormat="1" ht="28.9" customHeight="1" x14ac:dyDescent="0.25">
      <c r="B12" s="27">
        <v>7</v>
      </c>
      <c r="C12" s="96" t="s">
        <v>28</v>
      </c>
      <c r="D12" s="82" t="s">
        <v>24</v>
      </c>
      <c r="E12" s="83">
        <v>45481</v>
      </c>
      <c r="F12" s="100" t="s">
        <v>29</v>
      </c>
      <c r="G12" s="82"/>
      <c r="H12" s="98"/>
      <c r="I12" s="98"/>
      <c r="J12" s="98"/>
      <c r="K12" s="98"/>
      <c r="L12" s="98"/>
      <c r="M12" s="98"/>
      <c r="N12" s="98"/>
      <c r="O12" s="91"/>
      <c r="P12" s="91"/>
      <c r="Q12" s="91"/>
      <c r="R12" s="101"/>
      <c r="S12" s="87"/>
      <c r="T12" s="88"/>
      <c r="U12" s="87"/>
      <c r="V12" s="87"/>
      <c r="W12" s="87"/>
      <c r="X12" s="87"/>
      <c r="Y12" s="87"/>
      <c r="Z12" s="87"/>
    </row>
    <row r="13" spans="1:26" s="22" customFormat="1" ht="28.9" customHeight="1" x14ac:dyDescent="0.25">
      <c r="B13" s="90">
        <v>8</v>
      </c>
      <c r="C13" s="38" t="s">
        <v>30</v>
      </c>
      <c r="D13" s="39" t="s">
        <v>55</v>
      </c>
      <c r="E13" s="36">
        <v>45566</v>
      </c>
      <c r="F13" s="17" t="s">
        <v>78</v>
      </c>
      <c r="G13" s="39"/>
      <c r="H13" s="40"/>
      <c r="I13" s="40"/>
      <c r="J13" s="40"/>
      <c r="K13" s="40"/>
      <c r="L13" s="40"/>
      <c r="M13" s="40"/>
      <c r="N13" s="40"/>
      <c r="O13" s="29"/>
      <c r="P13" s="91"/>
      <c r="Q13" s="91"/>
      <c r="R13" s="104"/>
      <c r="S13" s="74"/>
      <c r="T13" s="75"/>
      <c r="U13" s="74"/>
      <c r="V13" s="74"/>
      <c r="W13" s="74"/>
      <c r="X13" s="74"/>
      <c r="Y13" s="74"/>
      <c r="Z13" s="74"/>
    </row>
    <row r="14" spans="1:26" s="80" customFormat="1" ht="28.9" customHeight="1" x14ac:dyDescent="0.25">
      <c r="A14" s="80" t="s">
        <v>100</v>
      </c>
      <c r="B14" s="27">
        <v>9</v>
      </c>
      <c r="C14" s="81" t="s">
        <v>31</v>
      </c>
      <c r="D14" s="82" t="s">
        <v>24</v>
      </c>
      <c r="E14" s="83">
        <v>45566</v>
      </c>
      <c r="F14" s="84" t="s">
        <v>67</v>
      </c>
      <c r="G14" s="85"/>
      <c r="H14" s="86"/>
      <c r="I14" s="86"/>
      <c r="J14" s="86"/>
      <c r="K14" s="86"/>
      <c r="L14" s="86"/>
      <c r="M14" s="86"/>
      <c r="N14" s="86"/>
      <c r="O14" s="91"/>
      <c r="P14" s="91"/>
      <c r="Q14" s="91"/>
      <c r="R14" s="101"/>
      <c r="S14" s="87"/>
      <c r="T14" s="88"/>
      <c r="U14" s="87"/>
      <c r="V14" s="87"/>
      <c r="W14" s="87"/>
      <c r="X14" s="87"/>
      <c r="Y14" s="87"/>
      <c r="Z14" s="87"/>
    </row>
    <row r="15" spans="1:26" s="80" customFormat="1" ht="28.9" customHeight="1" x14ac:dyDescent="0.25">
      <c r="B15" s="90">
        <v>10</v>
      </c>
      <c r="C15" s="81" t="s">
        <v>50</v>
      </c>
      <c r="D15" s="82" t="s">
        <v>24</v>
      </c>
      <c r="E15" s="83">
        <v>45566</v>
      </c>
      <c r="F15" s="84" t="s">
        <v>65</v>
      </c>
      <c r="G15" s="85"/>
      <c r="H15" s="86"/>
      <c r="I15" s="86"/>
      <c r="J15" s="86"/>
      <c r="K15" s="86"/>
      <c r="L15" s="86"/>
      <c r="M15" s="86"/>
      <c r="N15" s="86"/>
      <c r="O15" s="91"/>
      <c r="P15" s="91"/>
      <c r="Q15" s="91"/>
      <c r="R15" s="101"/>
      <c r="S15" s="87"/>
      <c r="T15" s="88"/>
      <c r="U15" s="87"/>
      <c r="V15" s="87"/>
      <c r="W15" s="87"/>
      <c r="X15" s="87"/>
      <c r="Y15" s="87"/>
      <c r="Z15" s="87"/>
    </row>
    <row r="16" spans="1:26" s="108" customFormat="1" ht="27.75" customHeight="1" x14ac:dyDescent="0.25">
      <c r="B16" s="27">
        <v>11</v>
      </c>
      <c r="C16" s="109" t="s">
        <v>34</v>
      </c>
      <c r="D16" s="110" t="s">
        <v>24</v>
      </c>
      <c r="E16" s="111">
        <v>45566</v>
      </c>
      <c r="F16" s="112" t="s">
        <v>75</v>
      </c>
      <c r="G16" s="113"/>
      <c r="H16" s="114"/>
      <c r="I16" s="114"/>
      <c r="J16" s="114"/>
      <c r="K16" s="114"/>
      <c r="L16" s="114"/>
      <c r="M16" s="114"/>
      <c r="N16" s="114"/>
      <c r="O16" s="115"/>
      <c r="P16" s="91"/>
      <c r="Q16" s="91"/>
      <c r="R16" s="116"/>
      <c r="S16" s="75"/>
      <c r="T16" s="75"/>
      <c r="U16" s="75"/>
      <c r="V16" s="75"/>
      <c r="W16" s="75"/>
      <c r="X16" s="88"/>
      <c r="Y16" s="88"/>
      <c r="Z16" s="75"/>
    </row>
    <row r="17" spans="1:26" s="108" customFormat="1" ht="28.9" customHeight="1" x14ac:dyDescent="0.25">
      <c r="B17" s="90">
        <v>12</v>
      </c>
      <c r="C17" s="109" t="s">
        <v>35</v>
      </c>
      <c r="D17" s="113" t="s">
        <v>58</v>
      </c>
      <c r="E17" s="111">
        <v>45566</v>
      </c>
      <c r="F17" s="112" t="s">
        <v>59</v>
      </c>
      <c r="G17" s="113"/>
      <c r="H17" s="114"/>
      <c r="I17" s="114"/>
      <c r="J17" s="114"/>
      <c r="K17" s="114"/>
      <c r="L17" s="114"/>
      <c r="M17" s="114"/>
      <c r="N17" s="114"/>
      <c r="O17" s="115"/>
      <c r="P17" s="91"/>
      <c r="Q17" s="91"/>
      <c r="R17" s="116"/>
      <c r="S17" s="75"/>
      <c r="T17" s="75"/>
      <c r="U17" s="75"/>
      <c r="V17" s="75"/>
      <c r="W17" s="75"/>
      <c r="X17" s="88"/>
      <c r="Y17" s="88"/>
      <c r="Z17" s="75"/>
    </row>
    <row r="18" spans="1:26" s="108" customFormat="1" ht="28.9" customHeight="1" x14ac:dyDescent="0.25">
      <c r="B18" s="27">
        <v>13</v>
      </c>
      <c r="C18" s="109" t="s">
        <v>36</v>
      </c>
      <c r="D18" s="110" t="s">
        <v>24</v>
      </c>
      <c r="E18" s="111">
        <v>45566</v>
      </c>
      <c r="F18" s="112" t="s">
        <v>73</v>
      </c>
      <c r="G18" s="113"/>
      <c r="H18" s="114"/>
      <c r="I18" s="114"/>
      <c r="J18" s="114"/>
      <c r="K18" s="114"/>
      <c r="L18" s="114"/>
      <c r="M18" s="114"/>
      <c r="N18" s="114"/>
      <c r="O18" s="115"/>
      <c r="P18" s="91"/>
      <c r="Q18" s="91"/>
      <c r="R18" s="117"/>
      <c r="S18" s="75"/>
      <c r="T18" s="75"/>
      <c r="U18" s="75"/>
      <c r="V18" s="75"/>
      <c r="W18" s="75"/>
      <c r="X18" s="88"/>
      <c r="Y18" s="88"/>
      <c r="Z18" s="75"/>
    </row>
    <row r="19" spans="1:26" s="108" customFormat="1" ht="28.9" customHeight="1" x14ac:dyDescent="0.25">
      <c r="A19" s="108" t="s">
        <v>96</v>
      </c>
      <c r="B19" s="90">
        <v>14</v>
      </c>
      <c r="C19" s="109" t="s">
        <v>37</v>
      </c>
      <c r="D19" s="110" t="s">
        <v>10</v>
      </c>
      <c r="E19" s="111">
        <v>45566</v>
      </c>
      <c r="F19" s="118">
        <v>1201502945809</v>
      </c>
      <c r="G19" s="113"/>
      <c r="H19" s="114"/>
      <c r="I19" s="114"/>
      <c r="J19" s="114"/>
      <c r="K19" s="114"/>
      <c r="L19" s="114"/>
      <c r="M19" s="114"/>
      <c r="N19" s="114"/>
      <c r="O19" s="115"/>
      <c r="P19" s="91"/>
      <c r="Q19" s="91"/>
      <c r="R19" s="116"/>
      <c r="S19" s="75"/>
      <c r="T19" s="75"/>
      <c r="U19" s="75"/>
      <c r="V19" s="75"/>
      <c r="W19" s="75"/>
      <c r="X19" s="88"/>
      <c r="Y19" s="88"/>
      <c r="Z19" s="75"/>
    </row>
    <row r="20" spans="1:26" s="119" customFormat="1" ht="28.9" customHeight="1" x14ac:dyDescent="0.25">
      <c r="B20" s="27">
        <v>15</v>
      </c>
      <c r="C20" s="120" t="s">
        <v>38</v>
      </c>
      <c r="D20" s="121" t="s">
        <v>24</v>
      </c>
      <c r="E20" s="122">
        <v>45566</v>
      </c>
      <c r="F20" s="123" t="s">
        <v>71</v>
      </c>
      <c r="G20" s="124"/>
      <c r="H20" s="125"/>
      <c r="I20" s="125"/>
      <c r="J20" s="125"/>
      <c r="K20" s="125"/>
      <c r="L20" s="125"/>
      <c r="M20" s="125"/>
      <c r="N20" s="125"/>
      <c r="O20" s="126"/>
      <c r="P20" s="91"/>
      <c r="Q20" s="91"/>
      <c r="R20" s="127"/>
      <c r="S20" s="88"/>
      <c r="T20" s="88"/>
      <c r="U20" s="88"/>
      <c r="V20" s="88"/>
      <c r="W20" s="88"/>
      <c r="X20" s="88"/>
      <c r="Y20" s="88"/>
      <c r="Z20" s="88"/>
    </row>
    <row r="21" spans="1:26" s="119" customFormat="1" ht="28.9" customHeight="1" x14ac:dyDescent="0.25">
      <c r="B21" s="90">
        <v>16</v>
      </c>
      <c r="C21" s="120" t="s">
        <v>39</v>
      </c>
      <c r="D21" s="121" t="s">
        <v>24</v>
      </c>
      <c r="E21" s="122">
        <v>45566</v>
      </c>
      <c r="F21" s="123" t="s">
        <v>68</v>
      </c>
      <c r="G21" s="124"/>
      <c r="H21" s="125"/>
      <c r="I21" s="125"/>
      <c r="J21" s="125"/>
      <c r="K21" s="125"/>
      <c r="L21" s="125"/>
      <c r="M21" s="125"/>
      <c r="N21" s="125"/>
      <c r="O21" s="126"/>
      <c r="P21" s="91"/>
      <c r="Q21" s="91"/>
      <c r="R21" s="127"/>
      <c r="S21" s="88"/>
      <c r="T21" s="88"/>
      <c r="U21" s="88"/>
      <c r="V21" s="88"/>
      <c r="W21" s="88"/>
      <c r="X21" s="88"/>
      <c r="Y21" s="88"/>
      <c r="Z21" s="88"/>
    </row>
    <row r="22" spans="1:26" s="119" customFormat="1" ht="28.9" customHeight="1" x14ac:dyDescent="0.25">
      <c r="B22" s="27">
        <v>17</v>
      </c>
      <c r="C22" s="120" t="s">
        <v>41</v>
      </c>
      <c r="D22" s="121" t="s">
        <v>24</v>
      </c>
      <c r="E22" s="122">
        <v>45566</v>
      </c>
      <c r="F22" s="123" t="s">
        <v>77</v>
      </c>
      <c r="G22" s="124"/>
      <c r="H22" s="125"/>
      <c r="I22" s="125"/>
      <c r="J22" s="125"/>
      <c r="K22" s="125"/>
      <c r="L22" s="125"/>
      <c r="M22" s="125"/>
      <c r="N22" s="125"/>
      <c r="O22" s="126"/>
      <c r="P22" s="91"/>
      <c r="Q22" s="91"/>
      <c r="R22" s="128"/>
      <c r="S22" s="88"/>
      <c r="T22" s="88"/>
      <c r="U22" s="88"/>
      <c r="V22" s="88"/>
      <c r="W22" s="88"/>
      <c r="X22" s="88"/>
      <c r="Y22" s="88"/>
      <c r="Z22" s="88"/>
    </row>
    <row r="23" spans="1:26" s="119" customFormat="1" ht="28.9" customHeight="1" x14ac:dyDescent="0.25">
      <c r="B23" s="90">
        <v>18</v>
      </c>
      <c r="C23" s="120" t="s">
        <v>52</v>
      </c>
      <c r="D23" s="121" t="s">
        <v>24</v>
      </c>
      <c r="E23" s="122">
        <v>45566</v>
      </c>
      <c r="F23" s="123" t="s">
        <v>64</v>
      </c>
      <c r="G23" s="124"/>
      <c r="H23" s="125"/>
      <c r="I23" s="125"/>
      <c r="J23" s="125"/>
      <c r="K23" s="125"/>
      <c r="L23" s="125"/>
      <c r="M23" s="125"/>
      <c r="N23" s="125"/>
      <c r="O23" s="126"/>
      <c r="P23" s="91"/>
      <c r="Q23" s="91"/>
      <c r="R23" s="128"/>
      <c r="S23" s="88"/>
      <c r="T23" s="88"/>
      <c r="U23" s="88"/>
      <c r="V23" s="88"/>
      <c r="W23" s="88"/>
      <c r="X23" s="88"/>
      <c r="Y23" s="88"/>
      <c r="Z23" s="88"/>
    </row>
    <row r="24" spans="1:26" s="108" customFormat="1" ht="28.9" customHeight="1" x14ac:dyDescent="0.25">
      <c r="B24" s="27">
        <v>19</v>
      </c>
      <c r="C24" s="109" t="s">
        <v>42</v>
      </c>
      <c r="D24" s="110" t="s">
        <v>10</v>
      </c>
      <c r="E24" s="111">
        <v>45566</v>
      </c>
      <c r="F24" s="112" t="s">
        <v>63</v>
      </c>
      <c r="G24" s="113"/>
      <c r="H24" s="114"/>
      <c r="I24" s="114"/>
      <c r="J24" s="114"/>
      <c r="K24" s="114"/>
      <c r="L24" s="114"/>
      <c r="M24" s="114"/>
      <c r="N24" s="114"/>
      <c r="O24" s="115"/>
      <c r="P24" s="91"/>
      <c r="Q24" s="91"/>
      <c r="R24" s="129"/>
      <c r="S24" s="75"/>
      <c r="T24" s="75"/>
      <c r="U24" s="75"/>
      <c r="V24" s="75"/>
      <c r="W24" s="75"/>
      <c r="X24" s="88"/>
      <c r="Y24" s="88"/>
      <c r="Z24" s="75"/>
    </row>
    <row r="25" spans="1:26" s="108" customFormat="1" ht="27.6" customHeight="1" x14ac:dyDescent="0.25">
      <c r="B25" s="90">
        <v>20</v>
      </c>
      <c r="C25" s="109" t="s">
        <v>44</v>
      </c>
      <c r="D25" s="110" t="s">
        <v>24</v>
      </c>
      <c r="E25" s="111">
        <v>45566</v>
      </c>
      <c r="F25" s="112" t="s">
        <v>66</v>
      </c>
      <c r="G25" s="113"/>
      <c r="H25" s="114"/>
      <c r="I25" s="114"/>
      <c r="J25" s="114"/>
      <c r="K25" s="114"/>
      <c r="L25" s="114"/>
      <c r="M25" s="114"/>
      <c r="N25" s="114"/>
      <c r="O25" s="115"/>
      <c r="P25" s="91"/>
      <c r="Q25" s="91"/>
      <c r="R25" s="116"/>
      <c r="S25" s="75"/>
      <c r="T25" s="75"/>
      <c r="U25" s="75"/>
      <c r="V25" s="75"/>
      <c r="W25" s="75"/>
      <c r="X25" s="75"/>
      <c r="Y25" s="75"/>
      <c r="Z25" s="75"/>
    </row>
    <row r="26" spans="1:26" s="108" customFormat="1" ht="28.9" customHeight="1" x14ac:dyDescent="0.25">
      <c r="B26" s="27">
        <v>21</v>
      </c>
      <c r="C26" s="109" t="s">
        <v>45</v>
      </c>
      <c r="D26" s="110" t="s">
        <v>10</v>
      </c>
      <c r="E26" s="111">
        <v>45566</v>
      </c>
      <c r="F26" s="118">
        <v>1201407764405</v>
      </c>
      <c r="G26" s="113"/>
      <c r="H26" s="114"/>
      <c r="I26" s="114"/>
      <c r="J26" s="114"/>
      <c r="K26" s="114"/>
      <c r="L26" s="114"/>
      <c r="M26" s="114"/>
      <c r="N26" s="114"/>
      <c r="O26" s="115"/>
      <c r="P26" s="91"/>
      <c r="Q26" s="91"/>
      <c r="R26" s="129"/>
      <c r="S26" s="75"/>
      <c r="T26" s="75"/>
      <c r="U26" s="75"/>
      <c r="V26" s="75"/>
      <c r="W26" s="75"/>
      <c r="X26" s="88"/>
      <c r="Y26" s="88"/>
      <c r="Z26" s="75"/>
    </row>
    <row r="27" spans="1:26" s="108" customFormat="1" ht="28.9" customHeight="1" x14ac:dyDescent="0.25">
      <c r="B27" s="90">
        <v>22</v>
      </c>
      <c r="C27" s="109" t="s">
        <v>47</v>
      </c>
      <c r="D27" s="110" t="s">
        <v>10</v>
      </c>
      <c r="E27" s="111">
        <v>45566</v>
      </c>
      <c r="F27" s="112" t="s">
        <v>62</v>
      </c>
      <c r="G27" s="113"/>
      <c r="H27" s="114"/>
      <c r="I27" s="114"/>
      <c r="J27" s="114"/>
      <c r="K27" s="114"/>
      <c r="L27" s="114"/>
      <c r="M27" s="114"/>
      <c r="N27" s="114"/>
      <c r="O27" s="115"/>
      <c r="P27" s="91"/>
      <c r="Q27" s="91"/>
      <c r="R27" s="116"/>
      <c r="S27" s="75"/>
      <c r="T27" s="75"/>
      <c r="U27" s="75"/>
      <c r="V27" s="75"/>
      <c r="W27" s="75"/>
      <c r="X27" s="88"/>
      <c r="Y27" s="88"/>
      <c r="Z27" s="75"/>
    </row>
    <row r="28" spans="1:26" s="119" customFormat="1" ht="28.9" customHeight="1" x14ac:dyDescent="0.25">
      <c r="A28" s="119" t="s">
        <v>97</v>
      </c>
      <c r="B28" s="90">
        <v>23</v>
      </c>
      <c r="C28" s="120" t="s">
        <v>48</v>
      </c>
      <c r="D28" s="124" t="s">
        <v>24</v>
      </c>
      <c r="E28" s="122">
        <v>45566</v>
      </c>
      <c r="F28" s="123" t="s">
        <v>79</v>
      </c>
      <c r="G28" s="124"/>
      <c r="H28" s="125"/>
      <c r="I28" s="125"/>
      <c r="J28" s="125"/>
      <c r="K28" s="125"/>
      <c r="L28" s="125"/>
      <c r="M28" s="125"/>
      <c r="N28" s="125"/>
      <c r="O28" s="126"/>
      <c r="P28" s="91"/>
      <c r="Q28" s="91"/>
      <c r="R28" s="128"/>
      <c r="S28" s="88"/>
      <c r="T28" s="88"/>
      <c r="U28" s="88"/>
      <c r="V28" s="88"/>
      <c r="W28" s="88"/>
      <c r="X28" s="88"/>
      <c r="Y28" s="88"/>
      <c r="Z28" s="88"/>
    </row>
    <row r="29" spans="1:26" s="119" customFormat="1" ht="29.25" customHeight="1" x14ac:dyDescent="0.25">
      <c r="B29" s="90">
        <v>24</v>
      </c>
      <c r="C29" s="120" t="s">
        <v>49</v>
      </c>
      <c r="D29" s="124" t="s">
        <v>24</v>
      </c>
      <c r="E29" s="122">
        <v>45566</v>
      </c>
      <c r="F29" s="123" t="s">
        <v>74</v>
      </c>
      <c r="G29" s="124"/>
      <c r="H29" s="125"/>
      <c r="I29" s="125"/>
      <c r="J29" s="125"/>
      <c r="K29" s="125"/>
      <c r="L29" s="125"/>
      <c r="M29" s="125"/>
      <c r="N29" s="125"/>
      <c r="O29" s="126"/>
      <c r="P29" s="91"/>
      <c r="Q29" s="91"/>
      <c r="R29" s="128"/>
      <c r="S29" s="88"/>
      <c r="T29" s="88"/>
      <c r="U29" s="88"/>
      <c r="V29" s="88"/>
      <c r="W29" s="88"/>
      <c r="X29" s="88"/>
      <c r="Y29" s="88"/>
      <c r="Z29" s="88"/>
    </row>
    <row r="30" spans="1:26" s="108" customFormat="1" ht="28.9" customHeight="1" x14ac:dyDescent="0.25">
      <c r="A30" s="108" t="s">
        <v>98</v>
      </c>
      <c r="B30" s="27">
        <v>25</v>
      </c>
      <c r="C30" s="109" t="s">
        <v>43</v>
      </c>
      <c r="D30" s="110" t="s">
        <v>10</v>
      </c>
      <c r="E30" s="111">
        <v>45566</v>
      </c>
      <c r="F30" s="112" t="s">
        <v>61</v>
      </c>
      <c r="G30" s="113"/>
      <c r="H30" s="114"/>
      <c r="I30" s="114"/>
      <c r="J30" s="114"/>
      <c r="K30" s="114"/>
      <c r="L30" s="114"/>
      <c r="M30" s="114"/>
      <c r="N30" s="114"/>
      <c r="O30" s="115"/>
      <c r="P30" s="91"/>
      <c r="Q30" s="91"/>
      <c r="R30" s="116"/>
      <c r="S30" s="75"/>
      <c r="T30" s="75"/>
      <c r="U30" s="75"/>
      <c r="V30" s="75"/>
      <c r="W30" s="75"/>
      <c r="X30" s="88"/>
      <c r="Y30" s="88"/>
      <c r="Z30" s="75"/>
    </row>
    <row r="31" spans="1:26" s="108" customFormat="1" ht="28.9" customHeight="1" x14ac:dyDescent="0.25">
      <c r="B31" s="90">
        <v>26</v>
      </c>
      <c r="C31" s="109" t="s">
        <v>33</v>
      </c>
      <c r="D31" s="110" t="s">
        <v>10</v>
      </c>
      <c r="E31" s="130">
        <v>45569</v>
      </c>
      <c r="F31" s="112" t="s">
        <v>60</v>
      </c>
      <c r="G31" s="113"/>
      <c r="H31" s="114"/>
      <c r="I31" s="114"/>
      <c r="J31" s="114"/>
      <c r="K31" s="114"/>
      <c r="L31" s="114"/>
      <c r="M31" s="114"/>
      <c r="N31" s="114"/>
      <c r="O31" s="115"/>
      <c r="P31" s="91"/>
      <c r="Q31" s="91"/>
      <c r="R31" s="116"/>
      <c r="S31" s="75"/>
      <c r="T31" s="75"/>
      <c r="U31" s="75"/>
      <c r="V31" s="75"/>
      <c r="W31" s="75"/>
      <c r="X31" s="88"/>
      <c r="Y31" s="88"/>
      <c r="Z31" s="75"/>
    </row>
    <row r="32" spans="1:26" s="108" customFormat="1" ht="28.9" customHeight="1" x14ac:dyDescent="0.25">
      <c r="B32" s="27">
        <v>27</v>
      </c>
      <c r="C32" s="109" t="s">
        <v>46</v>
      </c>
      <c r="D32" s="110" t="s">
        <v>10</v>
      </c>
      <c r="E32" s="130">
        <v>45569</v>
      </c>
      <c r="F32" s="112" t="s">
        <v>80</v>
      </c>
      <c r="G32" s="113"/>
      <c r="H32" s="114"/>
      <c r="I32" s="114"/>
      <c r="J32" s="114"/>
      <c r="K32" s="114"/>
      <c r="L32" s="114"/>
      <c r="M32" s="114"/>
      <c r="N32" s="114"/>
      <c r="O32" s="115"/>
      <c r="P32" s="91"/>
      <c r="Q32" s="91"/>
      <c r="R32" s="116"/>
      <c r="S32" s="75"/>
      <c r="T32" s="75"/>
      <c r="U32" s="75"/>
      <c r="V32" s="75"/>
      <c r="W32" s="75"/>
      <c r="X32" s="88"/>
      <c r="Y32" s="88"/>
      <c r="Z32" s="75"/>
    </row>
    <row r="33" spans="1:27" s="108" customFormat="1" ht="28.9" customHeight="1" x14ac:dyDescent="0.25">
      <c r="A33" s="108" t="s">
        <v>98</v>
      </c>
      <c r="B33" s="90">
        <v>28</v>
      </c>
      <c r="C33" s="109" t="s">
        <v>88</v>
      </c>
      <c r="D33" s="113" t="s">
        <v>21</v>
      </c>
      <c r="E33" s="130">
        <v>45638</v>
      </c>
      <c r="F33" s="131" t="s">
        <v>102</v>
      </c>
      <c r="G33" s="113"/>
      <c r="H33" s="114"/>
      <c r="I33" s="114"/>
      <c r="J33" s="113"/>
      <c r="K33" s="113"/>
      <c r="L33" s="113"/>
      <c r="M33" s="113"/>
      <c r="N33" s="113"/>
      <c r="O33" s="115"/>
      <c r="P33" s="91"/>
      <c r="Q33" s="91"/>
      <c r="R33" s="133"/>
      <c r="S33" s="75"/>
      <c r="T33" s="75"/>
      <c r="U33" s="75"/>
      <c r="V33" s="75"/>
      <c r="W33" s="75"/>
      <c r="X33" s="88"/>
      <c r="Y33" s="88"/>
      <c r="Z33" s="75"/>
    </row>
    <row r="34" spans="1:27" s="108" customFormat="1" ht="28.9" customHeight="1" x14ac:dyDescent="0.25">
      <c r="B34" s="27">
        <v>29</v>
      </c>
      <c r="C34" s="109" t="s">
        <v>89</v>
      </c>
      <c r="D34" s="113" t="s">
        <v>10</v>
      </c>
      <c r="E34" s="130">
        <v>45672</v>
      </c>
      <c r="F34" s="131" t="s">
        <v>101</v>
      </c>
      <c r="G34" s="113"/>
      <c r="H34" s="110"/>
      <c r="I34" s="110"/>
      <c r="J34" s="110"/>
      <c r="K34" s="110"/>
      <c r="L34" s="110"/>
      <c r="M34" s="110"/>
      <c r="N34" s="110"/>
      <c r="O34" s="115"/>
      <c r="P34" s="91"/>
      <c r="Q34" s="91"/>
      <c r="R34" s="116"/>
      <c r="S34" s="75"/>
      <c r="T34" s="75"/>
      <c r="U34" s="75"/>
      <c r="V34" s="75"/>
      <c r="W34" s="75"/>
      <c r="X34" s="88"/>
      <c r="Y34" s="88"/>
      <c r="Z34" s="75"/>
    </row>
    <row r="35" spans="1:27" s="108" customFormat="1" ht="28.9" customHeight="1" x14ac:dyDescent="0.25">
      <c r="B35" s="90">
        <v>30</v>
      </c>
      <c r="C35" s="109" t="s">
        <v>104</v>
      </c>
      <c r="D35" s="113" t="s">
        <v>105</v>
      </c>
      <c r="E35" s="130">
        <v>45880</v>
      </c>
      <c r="F35" s="131" t="s">
        <v>106</v>
      </c>
      <c r="G35" s="113"/>
      <c r="H35" s="110"/>
      <c r="I35" s="110"/>
      <c r="J35" s="110"/>
      <c r="K35" s="110"/>
      <c r="L35" s="110"/>
      <c r="M35" s="132"/>
      <c r="N35" s="114"/>
      <c r="O35" s="113"/>
      <c r="P35" s="91"/>
      <c r="Q35" s="91"/>
      <c r="R35" s="133"/>
      <c r="S35" s="75"/>
      <c r="T35" s="75"/>
      <c r="U35" s="75"/>
      <c r="V35" s="75"/>
      <c r="W35" s="75"/>
      <c r="X35" s="88"/>
      <c r="Y35" s="88"/>
      <c r="Z35" s="75"/>
    </row>
    <row r="36" spans="1:27" s="108" customFormat="1" ht="28.9" customHeight="1" x14ac:dyDescent="0.25">
      <c r="B36" s="27">
        <v>31</v>
      </c>
      <c r="C36" s="109" t="s">
        <v>107</v>
      </c>
      <c r="D36" s="113" t="s">
        <v>108</v>
      </c>
      <c r="E36" s="130">
        <v>45880</v>
      </c>
      <c r="F36" s="131" t="s">
        <v>109</v>
      </c>
      <c r="G36" s="113"/>
      <c r="H36" s="110"/>
      <c r="I36" s="110"/>
      <c r="J36" s="110"/>
      <c r="K36" s="110"/>
      <c r="L36" s="110"/>
      <c r="M36" s="132"/>
      <c r="N36" s="114"/>
      <c r="O36" s="113"/>
      <c r="P36" s="91"/>
      <c r="Q36" s="91"/>
      <c r="R36" s="133"/>
      <c r="S36" s="75"/>
      <c r="T36" s="75"/>
      <c r="U36" s="75"/>
      <c r="V36" s="75"/>
      <c r="W36" s="75"/>
      <c r="X36" s="88"/>
      <c r="Y36" s="88"/>
      <c r="Z36" s="75"/>
    </row>
    <row r="37" spans="1:27" s="108" customFormat="1" ht="28.9" customHeight="1" x14ac:dyDescent="0.25">
      <c r="B37" s="90">
        <v>32</v>
      </c>
      <c r="C37" s="109" t="s">
        <v>110</v>
      </c>
      <c r="D37" s="113" t="s">
        <v>111</v>
      </c>
      <c r="E37" s="130">
        <v>45880</v>
      </c>
      <c r="F37" s="131" t="s">
        <v>112</v>
      </c>
      <c r="G37" s="113"/>
      <c r="H37" s="110"/>
      <c r="I37" s="110"/>
      <c r="J37" s="110"/>
      <c r="K37" s="110"/>
      <c r="L37" s="110"/>
      <c r="M37" s="132"/>
      <c r="N37" s="114"/>
      <c r="O37" s="113"/>
      <c r="P37" s="91"/>
      <c r="Q37" s="91"/>
      <c r="R37" s="133"/>
      <c r="S37" s="75"/>
      <c r="T37" s="75"/>
      <c r="U37" s="75"/>
      <c r="V37" s="75"/>
      <c r="W37" s="75"/>
      <c r="X37" s="88"/>
      <c r="Y37" s="88"/>
      <c r="Z37" s="75"/>
    </row>
    <row r="38" spans="1:27" s="108" customFormat="1" ht="28.9" customHeight="1" x14ac:dyDescent="0.25">
      <c r="B38" s="27">
        <v>33</v>
      </c>
      <c r="C38" s="109" t="s">
        <v>115</v>
      </c>
      <c r="D38" s="113" t="s">
        <v>114</v>
      </c>
      <c r="E38" s="130">
        <v>45962</v>
      </c>
      <c r="F38" s="131" t="s">
        <v>69</v>
      </c>
      <c r="G38" s="113"/>
      <c r="H38" s="110"/>
      <c r="I38" s="110"/>
      <c r="J38" s="110"/>
      <c r="K38" s="110"/>
      <c r="L38" s="110"/>
      <c r="M38" s="132"/>
      <c r="N38" s="114"/>
      <c r="O38" s="110"/>
      <c r="P38" s="91"/>
      <c r="Q38" s="91"/>
      <c r="R38" s="129"/>
      <c r="S38" s="75"/>
      <c r="T38" s="75"/>
      <c r="U38" s="75"/>
      <c r="V38" s="75"/>
      <c r="W38" s="75"/>
      <c r="X38" s="88"/>
      <c r="Y38" s="88"/>
      <c r="Z38" s="75"/>
    </row>
    <row r="39" spans="1:27" s="108" customFormat="1" ht="28.9" customHeight="1" x14ac:dyDescent="0.25">
      <c r="B39" s="90">
        <v>34</v>
      </c>
      <c r="C39" s="109" t="s">
        <v>119</v>
      </c>
      <c r="D39" s="113" t="s">
        <v>10</v>
      </c>
      <c r="E39" s="130">
        <v>46083</v>
      </c>
      <c r="F39" s="134" t="s">
        <v>121</v>
      </c>
      <c r="G39" s="113"/>
      <c r="H39" s="110"/>
      <c r="I39" s="110"/>
      <c r="J39" s="110"/>
      <c r="K39" s="110"/>
      <c r="L39" s="110"/>
      <c r="M39" s="132"/>
      <c r="N39" s="114"/>
      <c r="O39" s="110"/>
      <c r="P39" s="91"/>
      <c r="Q39" s="91"/>
      <c r="R39" s="135"/>
      <c r="S39" s="75"/>
      <c r="T39" s="75"/>
      <c r="U39" s="75"/>
      <c r="V39" s="75"/>
      <c r="W39" s="75"/>
      <c r="X39" s="88"/>
      <c r="Y39" s="88"/>
      <c r="Z39" s="75"/>
    </row>
    <row r="40" spans="1:27" s="108" customFormat="1" ht="27.75" customHeight="1" x14ac:dyDescent="0.25">
      <c r="B40" s="27">
        <v>35</v>
      </c>
      <c r="C40" s="109" t="s">
        <v>120</v>
      </c>
      <c r="D40" s="113" t="s">
        <v>24</v>
      </c>
      <c r="E40" s="130">
        <v>46097</v>
      </c>
      <c r="F40" s="131" t="s">
        <v>122</v>
      </c>
      <c r="G40" s="113"/>
      <c r="H40" s="110"/>
      <c r="I40" s="110"/>
      <c r="J40" s="110"/>
      <c r="K40" s="110"/>
      <c r="L40" s="110"/>
      <c r="M40" s="132"/>
      <c r="N40" s="114"/>
      <c r="O40" s="110"/>
      <c r="P40" s="91"/>
      <c r="Q40" s="91"/>
      <c r="R40" s="129"/>
      <c r="S40" s="75"/>
      <c r="T40" s="75"/>
      <c r="U40" s="75"/>
      <c r="V40" s="75"/>
      <c r="W40" s="75"/>
      <c r="X40" s="88"/>
      <c r="Y40" s="88"/>
      <c r="Z40" s="75"/>
    </row>
    <row r="41" spans="1:27" s="108" customFormat="1" ht="27.75" customHeight="1" x14ac:dyDescent="0.25">
      <c r="B41" s="90">
        <v>36</v>
      </c>
      <c r="C41" s="109" t="s">
        <v>131</v>
      </c>
      <c r="D41" s="113" t="s">
        <v>24</v>
      </c>
      <c r="E41" s="130">
        <v>46143</v>
      </c>
      <c r="F41" s="131" t="s">
        <v>132</v>
      </c>
      <c r="G41" s="113"/>
      <c r="H41" s="110"/>
      <c r="I41" s="110"/>
      <c r="J41" s="110"/>
      <c r="K41" s="110"/>
      <c r="L41" s="110"/>
      <c r="M41" s="132"/>
      <c r="N41" s="114"/>
      <c r="O41" s="110"/>
      <c r="P41" s="91"/>
      <c r="Q41" s="115"/>
      <c r="R41" s="151"/>
      <c r="S41" s="75"/>
      <c r="T41" s="75"/>
      <c r="U41" s="75"/>
      <c r="V41" s="75"/>
      <c r="W41" s="75"/>
      <c r="X41" s="75"/>
      <c r="Y41" s="75"/>
      <c r="Z41" s="75"/>
    </row>
    <row r="42" spans="1:27" s="108" customFormat="1" ht="27.75" customHeight="1" x14ac:dyDescent="0.25">
      <c r="B42" s="27">
        <v>37</v>
      </c>
      <c r="C42" s="18" t="s">
        <v>135</v>
      </c>
      <c r="D42" s="11" t="s">
        <v>114</v>
      </c>
      <c r="E42" s="12">
        <v>46188</v>
      </c>
      <c r="F42" s="17" t="s">
        <v>137</v>
      </c>
      <c r="G42" s="11"/>
      <c r="H42" s="110"/>
      <c r="I42" s="39"/>
      <c r="J42" s="110"/>
      <c r="K42" s="110"/>
      <c r="L42" s="110"/>
      <c r="M42" s="40"/>
      <c r="N42" s="41"/>
      <c r="O42" s="110"/>
      <c r="P42" s="91"/>
      <c r="Q42" s="11"/>
      <c r="R42" s="152"/>
      <c r="S42" s="75"/>
      <c r="T42" s="75"/>
      <c r="U42" s="75"/>
      <c r="V42" s="75"/>
      <c r="W42" s="75"/>
      <c r="X42" s="75"/>
      <c r="Y42" s="75"/>
      <c r="Z42" s="75"/>
    </row>
    <row r="43" spans="1:27" s="22" customFormat="1" ht="28.9" customHeight="1" x14ac:dyDescent="0.25">
      <c r="B43" s="156" t="s">
        <v>90</v>
      </c>
      <c r="C43" s="157"/>
      <c r="D43" s="95"/>
      <c r="E43" s="62"/>
      <c r="F43" s="62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67"/>
      <c r="R43" s="106"/>
      <c r="S43" s="87"/>
      <c r="T43" s="88"/>
      <c r="U43" s="87"/>
      <c r="V43" s="87"/>
      <c r="W43" s="74"/>
      <c r="X43" s="87"/>
      <c r="Y43" s="87"/>
      <c r="Z43" s="158"/>
      <c r="AA43" s="159"/>
    </row>
    <row r="49" spans="1:27" s="66" customFormat="1" ht="15.75" x14ac:dyDescent="0.25">
      <c r="A49" s="1"/>
      <c r="B49" s="2"/>
      <c r="C49" s="2"/>
      <c r="D49" s="2"/>
      <c r="E49" s="2"/>
      <c r="F49" s="3"/>
      <c r="H49" s="107"/>
      <c r="O49" s="2"/>
      <c r="P49" s="2"/>
      <c r="S49" s="92"/>
      <c r="T49" s="93"/>
      <c r="U49" s="94"/>
      <c r="V49" s="94"/>
      <c r="W49" s="94"/>
      <c r="X49" s="92"/>
      <c r="Y49" s="92"/>
      <c r="Z49" s="1"/>
      <c r="AA49" s="1"/>
    </row>
  </sheetData>
  <mergeCells count="2">
    <mergeCell ref="B2:Q2"/>
    <mergeCell ref="B3:C3"/>
  </mergeCells>
  <pageMargins left="0.7" right="0.7" top="0.75" bottom="0.75" header="0.3" footer="0.3"/>
  <pageSetup paperSize="9" scale="4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Feuil1</vt:lpstr>
      <vt:lpstr>JANVIER 2025</vt:lpstr>
      <vt:lpstr>Suivi liste salariés exoner </vt:lpstr>
      <vt:lpstr>JUILLET2026  (2)</vt:lpstr>
      <vt:lpstr>AOÛT2026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Odette OUENSOU</dc:creator>
  <cp:lastModifiedBy>Mireille HOUEDAN</cp:lastModifiedBy>
  <cp:lastPrinted>2026-05-22T16:39:28Z</cp:lastPrinted>
  <dcterms:created xsi:type="dcterms:W3CDTF">2015-06-05T18:19:34Z</dcterms:created>
  <dcterms:modified xsi:type="dcterms:W3CDTF">2026-09-04T18:24:00Z</dcterms:modified>
</cp:coreProperties>
</file>